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<sst xmlns="http://schemas.openxmlformats.org/spreadsheetml/2006/main" count="1044" uniqueCount="939">
  <si>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</si>
  <si>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</si>
  <si>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</si>
  <si>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</si>
  <si>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</si>
  <si>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</si>
  <si>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</si>
  <si>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</si>
  <si>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</si>
  <si>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</si>
  <si>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</si>
  <si>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</si>
  <si>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</si>
  <si>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</si>
  <si>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</si>
  <si>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</si>
  <si>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</si>
  <si>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</si>
  <si>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</si>
  <si>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</si>
  <si>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</si>
  <si>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</si>
  <si>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</si>
  <si>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</si>
  <si>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</si>
  <si>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</si>
  <si>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</si>
  <si>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</si>
  <si>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</si>
  <si>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</si>
  <si>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</si>
  <si>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</si>
  <si>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</si>
  <si>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</si>
  <si>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</si>
  <si>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</si>
  <si>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</si>
  <si>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</si>
  <si>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</si>
  <si>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</si>
  <si>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</si>
  <si>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</si>
  <si>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</si>
  <si>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</si>
  <si>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</si>
  <si>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</si>
  <si>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</si>
  <si>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</si>
  <si>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</si>
  <si>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</si>
  <si>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</si>
  <si>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</si>
  <si>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</si>
  <si>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</si>
  <si>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</si>
  <si>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</si>
  <si>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</si>
  <si>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</si>
  <si>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</si>
  <si>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</si>
  <si>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</si>
  <si>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</si>
  <si>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</si>
  <si>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</si>
  <si>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</si>
  <si>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</si>
  <si>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</si>
  <si>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</si>
  <si>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</si>
  <si>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</si>
  <si>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</si>
  <si>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</si>
  <si>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</si>
  <si>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</si>
  <si>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</si>
  <si>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</si>
  <si>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</si>
  <si>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</si>
  <si>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</si>
  <si>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</si>
  <si>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</si>
  <si>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</si>
  <si>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</si>
  <si>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</si>
  <si>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</si>
  <si>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</si>
  <si>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</si>
  <si>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</si>
  <si>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</si>
  <si>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</si>
  <si>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</si>
  <si>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</si>
  <si>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</si>
  <si>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</si>
  <si>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</si>
  <si>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</si>
  <si>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</si>
  <si>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</si>
  <si>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</si>
  <si>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</si>
  <si>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</si>
  <si>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</si>
  <si>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</si>
  <si>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</si>
  <si>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</si>
  <si>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</si>
  <si>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</si>
  <si>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</si>
  <si>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</si>
  <si>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</si>
  <si>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</si>
  <si>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</si>
  <si>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</si>
  <si>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</si>
  <si>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</si>
  <si>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</si>
  <si>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</si>
  <si>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</si>
  <si>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</si>
  <si>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</si>
  <si>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</si>
  <si>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</si>
  <si>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</si>
  <si>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</si>
  <si>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</si>
  <si>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</si>
  <si>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</si>
  <si>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</si>
  <si>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</si>
  <si>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</si>
  <si>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</si>
  <si>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</si>
  <si>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</si>
  <si>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</si>
  <si>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</si>
  <si>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</si>
  <si>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</si>
  <si>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</si>
  <si>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</si>
  <si>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</si>
  <si>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</si>
  <si>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</si>
  <si>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</si>
  <si>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</si>
  <si>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</si>
  <si>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</si>
  <si>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</si>
  <si>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</si>
  <si>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</si>
  <si>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</si>
  <si>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</si>
  <si>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</si>
  <si>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</si>
  <si>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</si>
  <si>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</si>
  <si>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</si>
  <si>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</si>
  <si>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</si>
  <si>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</si>
  <si>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</si>
  <si>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</si>
  <si>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</si>
  <si>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</si>
  <si>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</si>
  <si>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</si>
  <si>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</si>
  <si>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</si>
  <si>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</si>
  <si>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</si>
  <si>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</si>
  <si>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</si>
  <si>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</si>
  <si>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</si>
  <si>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</si>
  <si>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</si>
  <si>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</si>
  <si>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</si>
  <si>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</si>
  <si>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</si>
  <si>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</si>
  <si>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</si>
  <si>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</si>
  <si>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</si>
  <si>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</si>
  <si>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</si>
  <si>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</si>
  <si>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</si>
  <si>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</si>
  <si>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</si>
  <si>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</si>
  <si>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</si>
  <si>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</si>
  <si>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</si>
  <si>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</si>
  <si>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</si>
  <si>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</si>
  <si>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</si>
  <si>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</si>
  <si>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</si>
  <si>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</si>
  <si>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</si>
  <si>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</si>
  <si>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</si>
  <si>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</si>
  <si>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</si>
  <si>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</si>
  <si>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</si>
  <si>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</si>
  <si>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</si>
  <si>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</si>
  <si>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</si>
  <si>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</si>
  <si>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</si>
  <si>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</si>
  <si>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</si>
  <si>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</si>
  <si>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</si>
  <si>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</si>
  <si>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</si>
  <si>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</si>
  <si>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</si>
  <si>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</si>
  <si>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</si>
  <si>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</si>
  <si>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</si>
  <si>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</si>
  <si>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</si>
  <si>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</si>
  <si>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</si>
  <si>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</si>
  <si>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</si>
  <si>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</si>
  <si>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</si>
  <si>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</si>
  <si>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</si>
  <si>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</si>
  <si>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</si>
  <si>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</si>
  <si>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</si>
  <si>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</si>
  <si>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</si>
  <si>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</si>
  <si>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</si>
  <si>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</si>
  <si>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</si>
  <si>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</si>
  <si>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</si>
  <si>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</si>
  <si>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</si>
  <si>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</si>
  <si>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</si>
  <si>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</si>
  <si>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</si>
  <si>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</si>
  <si>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</si>
  <si>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</si>
  <si>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</si>
  <si>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</si>
  <si>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</si>
  <si>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</si>
  <si>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</si>
  <si>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</si>
  <si>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</si>
  <si>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</si>
  <si>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</si>
  <si>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</si>
  <si>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</si>
  <si>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</si>
  <si>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</si>
  <si>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</si>
  <si>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</si>
  <si>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</si>
  <si>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</si>
  <si>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</si>
  <si>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</si>
  <si>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</si>
  <si>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</si>
  <si>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</si>
  <si>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</si>
  <si>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</si>
  <si>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</si>
  <si>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</si>
  <si>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</si>
  <si>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</si>
  <si>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</si>
  <si>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</si>
  <si>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</si>
  <si>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</si>
  <si>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</si>
  <si>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</si>
  <si>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</si>
  <si>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</si>
  <si>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</si>
  <si>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</si>
  <si>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</si>
  <si>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</si>
  <si>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</si>
  <si>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</si>
  <si>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</si>
  <si>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</si>
  <si>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</si>
  <si>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</si>
  <si>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</si>
  <si>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</si>
  <si>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</si>
  <si>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</si>
  <si>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</si>
  <si>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</si>
  <si>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</si>
  <si>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</si>
  <si>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</si>
  <si>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</si>
  <si>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</si>
  <si>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</si>
  <si>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</si>
  <si>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</si>
  <si>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</si>
  <si>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</si>
  <si>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</si>
  <si>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</si>
  <si>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</si>
  <si>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</si>
  <si>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</si>
  <si>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</si>
  <si>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</si>
  <si>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</si>
  <si>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</si>
  <si>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</si>
  <si>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</si>
  <si>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</si>
  <si>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</si>
  <si>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</si>
  <si>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</si>
  <si>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</si>
  <si>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</si>
  <si>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</si>
  <si>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</si>
  <si>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</si>
  <si>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</si>
  <si>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</si>
  <si>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</si>
  <si>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</si>
  <si>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</si>
  <si>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</si>
  <si>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</si>
  <si>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</si>
  <si>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</si>
  <si>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</si>
  <si>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</si>
  <si>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</si>
  <si>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</si>
  <si>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</si>
  <si>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</si>
  <si>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</si>
  <si>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</si>
  <si>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</si>
  <si>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</si>
  <si>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</si>
  <si>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</si>
  <si>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</si>
  <si>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</si>
  <si>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</si>
  <si>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</si>
  <si>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</si>
  <si>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</si>
  <si>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</si>
  <si>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</si>
  <si>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</si>
  <si>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</si>
  <si>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</si>
  <si>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</si>
  <si>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</si>
  <si>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</si>
  <si>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</si>
  <si>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</si>
  <si>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</si>
  <si>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</si>
  <si>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</si>
  <si>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</si>
  <si>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</si>
  <si>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</si>
  <si>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</si>
  <si>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</si>
  <si>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</si>
  <si>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</si>
  <si>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</si>
  <si>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</si>
  <si>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</si>
  <si>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</si>
  <si>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</si>
  <si>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</si>
  <si>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</si>
  <si>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</si>
  <si>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</si>
  <si>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</si>
  <si>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</si>
  <si>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</si>
  <si>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</si>
  <si>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</si>
  <si>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</si>
  <si>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</si>
  <si>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</si>
  <si>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</si>
  <si>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</si>
  <si>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</si>
  <si>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</si>
  <si>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</si>
  <si>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</si>
  <si>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</si>
  <si>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</si>
  <si>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</si>
  <si>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</si>
  <si>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</si>
  <si>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</si>
  <si>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</si>
  <si>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</si>
  <si>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</si>
  <si>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</si>
  <si>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</si>
  <si>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</si>
  <si>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</si>
  <si>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</si>
  <si>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</si>
  <si>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</si>
  <si>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</si>
  <si>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</si>
  <si>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</si>
  <si>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</si>
  <si>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</si>
  <si>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</si>
  <si>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</si>
  <si>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</si>
  <si>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</si>
  <si>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</si>
  <si>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</si>
  <si>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</si>
  <si>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</si>
  <si>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</si>
  <si>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</si>
  <si>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</si>
  <si>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</si>
  <si>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</si>
  <si>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</si>
  <si>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</si>
  <si>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</si>
  <si>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</si>
  <si>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</si>
  <si>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</si>
  <si>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</si>
  <si>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</si>
  <si>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</si>
  <si>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</si>
  <si>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</si>
  <si>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</si>
  <si>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</si>
  <si>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</si>
  <si>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</si>
  <si>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</si>
  <si>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</si>
  <si>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</si>
  <si>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</si>
  <si>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</si>
  <si>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</si>
  <si>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</si>
  <si>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</si>
  <si>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</si>
  <si>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</si>
  <si>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</si>
  <si>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</si>
  <si>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</si>
  <si>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</si>
  <si>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</si>
  <si>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</si>
  <si>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</si>
  <si>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</si>
  <si>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</si>
  <si>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</si>
  <si>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</si>
  <si>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</si>
  <si>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</si>
  <si>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</si>
  <si>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</si>
  <si>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</si>
  <si>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</si>
  <si>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</si>
  <si>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</si>
  <si>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</si>
  <si>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</si>
  <si>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</si>
  <si>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</si>
  <si>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</si>
  <si>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</si>
  <si>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</si>
  <si>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</si>
  <si>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</si>
  <si>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</si>
  <si>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</si>
  <si>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</si>
  <si>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</si>
  <si>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</si>
  <si>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</si>
  <si>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</si>
  <si>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</si>
  <si>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</si>
  <si>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</si>
  <si>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</si>
  <si>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</si>
  <si>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</si>
  <si>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</si>
  <si>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</si>
  <si>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</si>
  <si>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</si>
  <si>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</si>
  <si>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</si>
  <si>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</si>
  <si>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</si>
  <si>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</si>
  <si>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</si>
  <si>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</si>
  <si>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</si>
  <si>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</si>
  <si>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</si>
  <si>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</si>
  <si>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</si>
  <si>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</si>
  <si>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</si>
  <si>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</si>
  <si>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</si>
  <si>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</si>
  <si>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</si>
  <si>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</si>
  <si>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</si>
  <si>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</si>
  <si>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</si>
  <si>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</si>
  <si>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</si>
  <si>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</si>
  <si>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</si>
  <si>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</si>
  <si>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</si>
  <si>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</si>
  <si>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</si>
  <si>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</si>
  <si>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</si>
  <si>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</si>
  <si>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</si>
  <si>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</si>
  <si>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</si>
  <si>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</si>
  <si>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</si>
  <si>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</si>
  <si>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</si>
  <si>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</si>
  <si>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</si>
  <si>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</si>
  <si>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</si>
  <si>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</si>
  <si>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</si>
  <si>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</si>
  <si>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</si>
  <si>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</si>
  <si>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</si>
  <si>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</si>
  <si>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</si>
  <si>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</si>
  <si>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</si>
  <si>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</si>
  <si>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</si>
  <si>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</si>
  <si>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</si>
  <si>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</si>
  <si>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</si>
  <si>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</si>
  <si>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</si>
  <si>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</si>
  <si>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</si>
  <si>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</si>
  <si>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</si>
  <si>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</si>
  <si>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</si>
  <si>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</si>
  <si>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</si>
  <si>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</si>
  <si>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</si>
  <si>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</si>
  <si>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</si>
  <si>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</si>
  <si>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</si>
  <si>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</si>
  <si>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</si>
  <si>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</si>
  <si>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</si>
  <si>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</si>
  <si>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</si>
  <si>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</si>
  <si>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</si>
  <si>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</si>
  <si>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</si>
  <si>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</si>
  <si>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</si>
  <si>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</si>
  <si>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</si>
  <si>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</si>
  <si>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</si>
  <si>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</si>
  <si>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</si>
  <si>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</si>
  <si>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</si>
  <si>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</si>
  <si>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</si>
  <si>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</si>
  <si>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</si>
  <si>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</si>
  <si>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</si>
  <si>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</si>
  <si>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</si>
  <si>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</si>
  <si>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</si>
  <si>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</si>
  <si>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</si>
  <si>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</si>
  <si>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</si>
  <si>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</si>
  <si>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</si>
  <si>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</si>
  <si>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</si>
  <si>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</si>
  <si>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</si>
  <si>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</si>
  <si>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</si>
  <si>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</si>
  <si>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</si>
  <si>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</si>
  <si>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</si>
  <si>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</si>
  <si>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</si>
  <si>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</si>
  <si>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</si>
  <si>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</si>
  <si>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</si>
  <si>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</si>
  <si>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</si>
  <si>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</si>
  <si>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</si>
  <si>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</si>
  <si>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</si>
  <si>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</si>
  <si>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</si>
  <si>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</si>
  <si>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</si>
  <si>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</si>
  <si>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</si>
  <si>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</si>
  <si>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</si>
  <si>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</si>
  <si>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</si>
  <si>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</si>
  <si>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</si>
  <si>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</si>
  <si>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</si>
  <si>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</si>
  <si>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</si>
  <si>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</si>
  <si>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</si>
  <si>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</si>
  <si>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</si>
  <si>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</si>
  <si>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</si>
  <si>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</si>
  <si>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</si>
  <si>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</si>
  <si>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</si>
  <si>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</si>
  <si>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</si>
  <si>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</si>
  <si>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</si>
  <si>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</si>
  <si>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</si>
  <si>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</si>
  <si>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</si>
  <si>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</si>
  <si>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</si>
  <si>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</si>
  <si>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</si>
  <si>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</si>
  <si>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</si>
  <si>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</si>
  <si>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</si>
  <si>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</si>
  <si>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</si>
  <si>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</si>
  <si>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</si>
  <si>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</si>
  <si>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</si>
  <si>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</si>
  <si>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</si>
  <si>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</si>
  <si>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</si>
  <si>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</si>
  <si>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</si>
  <si>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</si>
  <si>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</si>
  <si>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</si>
  <si>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</si>
  <si>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</si>
  <si>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</si>
  <si>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</si>
  <si>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</si>
  <si>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</si>
  <si>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</si>
  <si>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</si>
  <si>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</si>
  <si>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</si>
  <si>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</si>
  <si>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</si>
  <si>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</si>
  <si>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</si>
  <si>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</si>
  <si>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</si>
  <si>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</si>
  <si>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</si>
  <si>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</si>
  <si>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</si>
  <si>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</si>
  <si>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</si>
  <si>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</si>
  <si>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</si>
  <si>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</si>
  <si>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</si>
  <si>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</si>
  <si>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</si>
  <si>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</si>
  <si>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</si>
  <si>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</si>
  <si>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</si>
  <si>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</si>
  <si>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</si>
  <si>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</si>
  <si>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</si>
  <si>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</si>
  <si>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</si>
  <si>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</si>
  <si>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</si>
  <si>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</si>
  <si>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</si>
  <si>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</si>
  <si>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</si>
  <si>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</si>
  <si>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</si>
  <si>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</si>
  <si>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</si>
  <si>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</si>
  <si>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</si>
  <si>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</si>
  <si>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</si>
  <si>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</si>
  <si>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</si>
  <si>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</si>
  <si>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</si>
  <si>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</si>
  <si>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</si>
  <si>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</si>
  <si>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</si>
  <si>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</si>
  <si>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</si>
  <si>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</si>
  <si>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</si>
  <si>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</si>
  <si>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</si>
  <si>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</si>
  <si>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</si>
  <si>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</si>
  <si>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</si>
  <si>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</si>
  <si>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</si>
  <si>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</si>
  <si>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</si>
  <si>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</si>
  <si>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</si>
  <si>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</si>
  <si>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</si>
  <si>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</si>
  <si>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</si>
  <si>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</si>
  <si>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</si>
  <si>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</si>
  <si>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</si>
  <si>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</si>
  <si>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</si>
  <si>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</si>
  <si>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</si>
  <si>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</si>
  <si>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</si>
  <si>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</si>
  <si>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</si>
  <si>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</si>
  <si>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</si>
  <si>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</si>
  <si>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</si>
  <si>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</si>
  <si>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</si>
  <si>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</si>
  <si>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</si>
  <si>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</si>
  <si>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</si>
  <si>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</si>
  <si>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</si>
  <si>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</si>
  <si>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</si>
  <si>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</si>
  <si>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</si>
  <si>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</si>
  <si>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</si>
  <si>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</si>
  <si>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</si>
  <si>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</si>
  <si>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</si>
  <si>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</si>
  <si>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</si>
  <si>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</si>
  <si>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</si>
  <si>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</si>
  <si>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</si>
  <si>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</si>
  <si>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</si>
  <si>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</si>
  <si>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</si>
  <si>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</si>
  <si>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</si>
  <si>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</si>
  <si>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</si>
  <si>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</si>
  <si>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</si>
  <si>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</si>
  <si>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</si>
  <si>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</si>
  <si>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</si>
  <si>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</si>
  <si>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</si>
  <si>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</si>
  <si>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</si>
  <si>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</si>
  <si>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</si>
  <si>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</si>
  <si>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</si>
  <si>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</si>
  <si>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</si>
  <si>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</si>
  <si>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</si>
  <si>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</si>
  <si>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</si>
  <si>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</si>
  <si>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</si>
  <si>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</si>
  <si>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</si>
  <si>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</si>
  <si>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</si>
  <si>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</si>
  <si>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</si>
  <si>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</si>
  <si>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</si>
  <si>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</si>
  <si>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</si>
  <si>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</si>
  <si>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</si>
  <si>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</si>
  <si>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</si>
  <si>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</si>
  <si>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</si>
  <si>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</si>
  <si>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</si>
  <si>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</si>
  <si>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</si>
  <si>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</si>
  <si>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</si>
  <si>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</si>
  <si>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</si>
  <si>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</si>
  <si>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</si>
  <si>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</si>
  <si>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</si>
  <si>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</si>
  <si>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</si>
  <si>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</si>
  <si>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</si>
  <si>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</si>
  <si>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</si>
  <si>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</si>
  <si>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</si>
  <si>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</si>
  <si>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</si>
  <si>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</si>
  <si>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</si>
  <si>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</si>
  <si>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</si>
  <si>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</si>
  <si>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</si>
  <si>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</si>
  <si>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</si>
  <si>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</si>
  <si>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</si>
  <si>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</si>
  <si>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</si>
  <si>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</si>
  <si>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</si>
  <si>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</si>
  <si>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</si>
  <si>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</si>
  <si>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</si>
  <si>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</si>
  <si>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</si>
  <si>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</si>
  <si>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</si>
  <si>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</si>
  <si>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</si>
  <si>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</si>
  <si>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</si>
  <si>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</si>
  <si>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</si>
  <si>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</si>
  <si>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</si>
  <si>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</si>
  <si>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</si>
  <si>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</si>
  <si>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</si>
  <si>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</si>
  <si>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</si>
  <si>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</si>
  <si>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</si>
  <si>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</si>
  <si>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</si>
  <si>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</si>
  <si>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</si>
  <si>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</si>
  <si>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</si>
  <si>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</si>
  <si>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3210-1244425,61</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</si>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</sst>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i/>
      <sz val="12"/>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51">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1" fillId="27" borderId="0"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0" fontId="30" fillId="27" borderId="12" xfId="231" applyFont="1" applyFill="1" applyBorder="1" applyAlignment="1">
      <alignment horizontal="left" vertical="top" wrapText="1"/>
      <protection/>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40" fillId="27" borderId="12" xfId="0" applyFont="1" applyFill="1" applyBorder="1" applyAlignment="1">
      <alignment horizontal="left" vertical="center" wrapText="1"/>
    </xf>
    <xf numFmtId="194" fontId="40" fillId="27" borderId="12" xfId="0" applyNumberFormat="1" applyFont="1" applyFill="1" applyBorder="1" applyAlignment="1">
      <alignment horizontal="center" vertical="center"/>
    </xf>
    <xf numFmtId="194" fontId="40"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0"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H4" sqref="AH4"/>
    </sheetView>
  </sheetViews>
  <sheetFormatPr defaultColWidth="7" defaultRowHeight="12.75"/>
  <cols>
    <col min="1" max="1" width="14.33203125" style="145" customWidth="1"/>
    <col min="2" max="2" width="22.16015625" style="146" hidden="1" customWidth="1"/>
    <col min="3" max="3" width="19.16015625" style="147" hidden="1" customWidth="1"/>
    <col min="4" max="4" width="44.83203125" style="148" customWidth="1"/>
    <col min="5" max="5" width="67.83203125" style="149" customWidth="1"/>
    <col min="6" max="6" width="11.5" style="149" hidden="1" customWidth="1"/>
    <col min="7" max="8" width="21.16015625" style="146" hidden="1" customWidth="1"/>
    <col min="9" max="9" width="24.83203125" style="150" customWidth="1"/>
    <col min="10" max="10" width="26.16015625" style="150" hidden="1" customWidth="1"/>
    <col min="11" max="12" width="17.5" style="27" hidden="1" customWidth="1"/>
    <col min="13" max="19" width="18.33203125" style="27" hidden="1" customWidth="1"/>
    <col min="20" max="20" width="20.33203125" style="27" hidden="1" customWidth="1"/>
    <col min="21" max="21" width="20.5" style="27" hidden="1" customWidth="1"/>
    <col min="22" max="22" width="18.33203125" style="27" hidden="1" customWidth="1"/>
    <col min="23" max="23" width="16.83203125" style="52" hidden="1" customWidth="1"/>
    <col min="24" max="24" width="20.5" style="27" customWidth="1"/>
    <col min="25" max="25" width="18.5" style="27" hidden="1" customWidth="1"/>
    <col min="26" max="26" width="18.83203125" style="27" hidden="1" customWidth="1"/>
    <col min="27" max="16384" width="7" style="27"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30"/>
      <c r="B2" s="30"/>
      <c r="C2" s="30"/>
      <c r="D2" s="30"/>
      <c r="E2" s="30"/>
      <c r="F2" s="30"/>
      <c r="G2" s="30"/>
      <c r="H2" s="30"/>
      <c r="I2" s="30"/>
      <c r="J2" s="30"/>
      <c r="K2" s="30"/>
      <c r="L2" s="30"/>
      <c r="M2" s="30"/>
      <c r="N2" s="30"/>
      <c r="O2" s="30"/>
      <c r="P2" s="30"/>
      <c r="Q2" s="30"/>
      <c r="R2" s="30"/>
      <c r="S2" s="30"/>
      <c r="T2" s="30"/>
      <c r="U2" s="30"/>
      <c r="V2" s="30"/>
      <c r="W2" s="43"/>
    </row>
    <row r="3" spans="1:10" ht="15">
      <c r="A3" s="44"/>
      <c r="B3" s="45"/>
      <c r="C3" s="46"/>
      <c r="D3" s="47"/>
      <c r="E3" s="48"/>
      <c r="F3" s="48"/>
      <c r="G3" s="49"/>
      <c r="H3" s="50"/>
      <c r="I3" s="51" t="s">
        <v>38</v>
      </c>
      <c r="J3" s="51"/>
    </row>
    <row r="4" spans="1:26" ht="108.75">
      <c r="A4" s="53" t="s">
        <v>39</v>
      </c>
      <c r="B4" s="53" t="s">
        <v>51</v>
      </c>
      <c r="C4" s="53" t="s">
        <v>52</v>
      </c>
      <c r="D4" s="54" t="s">
        <v>50</v>
      </c>
      <c r="E4" s="13" t="s">
        <v>45</v>
      </c>
      <c r="F4" s="13" t="s">
        <v>646</v>
      </c>
      <c r="G4" s="13" t="s">
        <v>46</v>
      </c>
      <c r="H4" s="13" t="s">
        <v>47</v>
      </c>
      <c r="I4" s="55" t="s">
        <v>48</v>
      </c>
      <c r="J4" s="55" t="s">
        <v>49</v>
      </c>
      <c r="K4" s="56" t="s">
        <v>633</v>
      </c>
      <c r="L4" s="57" t="s">
        <v>634</v>
      </c>
      <c r="M4" s="57" t="s">
        <v>635</v>
      </c>
      <c r="N4" s="57" t="s">
        <v>636</v>
      </c>
      <c r="O4" s="57" t="s">
        <v>637</v>
      </c>
      <c r="P4" s="57" t="s">
        <v>638</v>
      </c>
      <c r="Q4" s="57" t="s">
        <v>639</v>
      </c>
      <c r="R4" s="57" t="s">
        <v>640</v>
      </c>
      <c r="S4" s="57" t="s">
        <v>641</v>
      </c>
      <c r="T4" s="57" t="s">
        <v>642</v>
      </c>
      <c r="U4" s="57" t="s">
        <v>643</v>
      </c>
      <c r="V4" s="57" t="s">
        <v>644</v>
      </c>
      <c r="W4" s="58" t="s">
        <v>645</v>
      </c>
      <c r="X4" s="59" t="s">
        <v>647</v>
      </c>
      <c r="Y4" s="59" t="s">
        <v>648</v>
      </c>
      <c r="Z4" s="59" t="s">
        <v>649</v>
      </c>
    </row>
    <row r="5" spans="1:26" ht="30.75">
      <c r="A5" s="53" t="s">
        <v>902</v>
      </c>
      <c r="B5" s="53"/>
      <c r="C5" s="53"/>
      <c r="D5" s="54" t="s">
        <v>903</v>
      </c>
      <c r="E5" s="13"/>
      <c r="F5" s="13"/>
      <c r="G5" s="13"/>
      <c r="H5" s="15"/>
      <c r="I5" s="55">
        <f>I6</f>
        <v>2216030</v>
      </c>
      <c r="J5" s="55">
        <f aca="true" t="shared" si="0" ref="J5:X6">J6</f>
        <v>0</v>
      </c>
      <c r="K5" s="55">
        <f t="shared" si="0"/>
        <v>0</v>
      </c>
      <c r="L5" s="55">
        <f t="shared" si="0"/>
        <v>0</v>
      </c>
      <c r="M5" s="55">
        <f t="shared" si="0"/>
        <v>0</v>
      </c>
      <c r="N5" s="55">
        <f t="shared" si="0"/>
        <v>0</v>
      </c>
      <c r="O5" s="55">
        <f t="shared" si="0"/>
        <v>0</v>
      </c>
      <c r="P5" s="55">
        <f t="shared" si="0"/>
        <v>0</v>
      </c>
      <c r="Q5" s="55">
        <f t="shared" si="0"/>
        <v>0</v>
      </c>
      <c r="R5" s="55">
        <f t="shared" si="0"/>
        <v>0</v>
      </c>
      <c r="S5" s="55">
        <f t="shared" si="0"/>
        <v>16030</v>
      </c>
      <c r="T5" s="55">
        <f t="shared" si="0"/>
        <v>1157050</v>
      </c>
      <c r="U5" s="55">
        <f t="shared" si="0"/>
        <v>1042950</v>
      </c>
      <c r="V5" s="55">
        <f t="shared" si="0"/>
        <v>0</v>
      </c>
      <c r="W5" s="6">
        <f aca="true" t="shared" si="1" ref="W5:W10">I5-K5-L5-M5-N5-O5-P5-Q5-R5-S5-T5-U5-V5</f>
        <v>0</v>
      </c>
      <c r="X5" s="55">
        <f t="shared" si="0"/>
        <v>0</v>
      </c>
      <c r="Y5" s="6">
        <f aca="true" t="shared" si="2" ref="Y5:Y10">K5+L5+M5+N5+O5+P5+Q5+R5+S5-X5</f>
        <v>16030</v>
      </c>
      <c r="Z5" s="6">
        <f aca="true" t="shared" si="3" ref="Z5:Z10">I5-X5</f>
        <v>2216030</v>
      </c>
    </row>
    <row r="6" spans="1:26" ht="30.75">
      <c r="A6" s="53" t="s">
        <v>904</v>
      </c>
      <c r="B6" s="53"/>
      <c r="C6" s="53"/>
      <c r="D6" s="54" t="s">
        <v>903</v>
      </c>
      <c r="E6" s="13"/>
      <c r="F6" s="13"/>
      <c r="G6" s="13"/>
      <c r="H6" s="15"/>
      <c r="I6" s="55">
        <f>I7</f>
        <v>2216030</v>
      </c>
      <c r="J6" s="55">
        <f t="shared" si="0"/>
        <v>0</v>
      </c>
      <c r="K6" s="55">
        <f t="shared" si="0"/>
        <v>0</v>
      </c>
      <c r="L6" s="55">
        <f t="shared" si="0"/>
        <v>0</v>
      </c>
      <c r="M6" s="55">
        <f t="shared" si="0"/>
        <v>0</v>
      </c>
      <c r="N6" s="55">
        <f t="shared" si="0"/>
        <v>0</v>
      </c>
      <c r="O6" s="55">
        <f t="shared" si="0"/>
        <v>0</v>
      </c>
      <c r="P6" s="55">
        <f t="shared" si="0"/>
        <v>0</v>
      </c>
      <c r="Q6" s="55">
        <f t="shared" si="0"/>
        <v>0</v>
      </c>
      <c r="R6" s="55">
        <f t="shared" si="0"/>
        <v>0</v>
      </c>
      <c r="S6" s="55">
        <f t="shared" si="0"/>
        <v>16030</v>
      </c>
      <c r="T6" s="55">
        <f t="shared" si="0"/>
        <v>1157050</v>
      </c>
      <c r="U6" s="55">
        <f t="shared" si="0"/>
        <v>1042950</v>
      </c>
      <c r="V6" s="55">
        <f t="shared" si="0"/>
        <v>0</v>
      </c>
      <c r="W6" s="6">
        <f t="shared" si="1"/>
        <v>0</v>
      </c>
      <c r="X6" s="55">
        <f t="shared" si="0"/>
        <v>0</v>
      </c>
      <c r="Y6" s="6">
        <f t="shared" si="2"/>
        <v>16030</v>
      </c>
      <c r="Z6" s="6">
        <f t="shared" si="3"/>
        <v>2216030</v>
      </c>
    </row>
    <row r="7" spans="1:26" ht="15">
      <c r="A7" s="60" t="s">
        <v>905</v>
      </c>
      <c r="B7" s="60" t="s">
        <v>147</v>
      </c>
      <c r="C7" s="60" t="s">
        <v>146</v>
      </c>
      <c r="D7" s="61" t="s">
        <v>145</v>
      </c>
      <c r="E7" s="13"/>
      <c r="F7" s="13"/>
      <c r="G7" s="13"/>
      <c r="H7" s="15"/>
      <c r="I7" s="55">
        <f>SUM(I8:I10)</f>
        <v>2216030</v>
      </c>
      <c r="J7" s="55">
        <f aca="true" t="shared" si="4" ref="J7:X7">SUM(J8:J10)</f>
        <v>0</v>
      </c>
      <c r="K7" s="55">
        <f t="shared" si="4"/>
        <v>0</v>
      </c>
      <c r="L7" s="55">
        <f t="shared" si="4"/>
        <v>0</v>
      </c>
      <c r="M7" s="55">
        <f t="shared" si="4"/>
        <v>0</v>
      </c>
      <c r="N7" s="55">
        <f t="shared" si="4"/>
        <v>0</v>
      </c>
      <c r="O7" s="55">
        <f t="shared" si="4"/>
        <v>0</v>
      </c>
      <c r="P7" s="55">
        <f t="shared" si="4"/>
        <v>0</v>
      </c>
      <c r="Q7" s="55">
        <f t="shared" si="4"/>
        <v>0</v>
      </c>
      <c r="R7" s="55">
        <f t="shared" si="4"/>
        <v>0</v>
      </c>
      <c r="S7" s="55">
        <f t="shared" si="4"/>
        <v>16030</v>
      </c>
      <c r="T7" s="55">
        <f t="shared" si="4"/>
        <v>1157050</v>
      </c>
      <c r="U7" s="55">
        <f t="shared" si="4"/>
        <v>1042950</v>
      </c>
      <c r="V7" s="55">
        <f t="shared" si="4"/>
        <v>0</v>
      </c>
      <c r="W7" s="6">
        <f t="shared" si="1"/>
        <v>0</v>
      </c>
      <c r="X7" s="55">
        <f t="shared" si="4"/>
        <v>0</v>
      </c>
      <c r="Y7" s="6">
        <f t="shared" si="2"/>
        <v>16030</v>
      </c>
      <c r="Z7" s="6">
        <f t="shared" si="3"/>
        <v>2216030</v>
      </c>
    </row>
    <row r="8" spans="1:26" ht="18">
      <c r="A8" s="62"/>
      <c r="B8" s="62"/>
      <c r="C8" s="62"/>
      <c r="D8" s="63"/>
      <c r="E8" s="5" t="s">
        <v>223</v>
      </c>
      <c r="F8" s="17">
        <v>3110</v>
      </c>
      <c r="G8" s="17"/>
      <c r="H8" s="18"/>
      <c r="I8" s="64">
        <v>16030</v>
      </c>
      <c r="J8" s="64"/>
      <c r="K8" s="65"/>
      <c r="L8" s="66"/>
      <c r="M8" s="66"/>
      <c r="N8" s="66"/>
      <c r="O8" s="66"/>
      <c r="P8" s="66"/>
      <c r="Q8" s="66"/>
      <c r="R8" s="66"/>
      <c r="S8" s="66">
        <v>16030</v>
      </c>
      <c r="T8" s="66"/>
      <c r="U8" s="66"/>
      <c r="V8" s="66"/>
      <c r="W8" s="6">
        <f t="shared" si="1"/>
        <v>0</v>
      </c>
      <c r="X8" s="59"/>
      <c r="Y8" s="6">
        <f t="shared" si="2"/>
        <v>16030</v>
      </c>
      <c r="Z8" s="6">
        <f t="shared" si="3"/>
        <v>16030</v>
      </c>
    </row>
    <row r="9" spans="1:26" ht="18">
      <c r="A9" s="62"/>
      <c r="B9" s="62"/>
      <c r="C9" s="62"/>
      <c r="D9" s="63"/>
      <c r="E9" s="5" t="s">
        <v>906</v>
      </c>
      <c r="F9" s="17">
        <v>3110</v>
      </c>
      <c r="G9" s="17"/>
      <c r="H9" s="18"/>
      <c r="I9" s="64">
        <v>200000</v>
      </c>
      <c r="J9" s="64"/>
      <c r="K9" s="65"/>
      <c r="L9" s="66"/>
      <c r="M9" s="66"/>
      <c r="N9" s="66"/>
      <c r="O9" s="66"/>
      <c r="P9" s="66"/>
      <c r="Q9" s="66"/>
      <c r="R9" s="66"/>
      <c r="S9" s="66"/>
      <c r="T9" s="66"/>
      <c r="U9" s="66">
        <v>200000</v>
      </c>
      <c r="V9" s="66"/>
      <c r="W9" s="6">
        <f t="shared" si="1"/>
        <v>0</v>
      </c>
      <c r="X9" s="59"/>
      <c r="Y9" s="6">
        <f t="shared" si="2"/>
        <v>0</v>
      </c>
      <c r="Z9" s="6">
        <f t="shared" si="3"/>
        <v>200000</v>
      </c>
    </row>
    <row r="10" spans="1:26" ht="30.75">
      <c r="A10" s="67"/>
      <c r="B10" s="67"/>
      <c r="C10" s="67"/>
      <c r="D10" s="68"/>
      <c r="E10" s="5" t="s">
        <v>826</v>
      </c>
      <c r="F10" s="17">
        <v>3110</v>
      </c>
      <c r="G10" s="17"/>
      <c r="H10" s="18"/>
      <c r="I10" s="64">
        <v>2000000</v>
      </c>
      <c r="J10" s="64"/>
      <c r="K10" s="65"/>
      <c r="L10" s="66"/>
      <c r="M10" s="66"/>
      <c r="N10" s="66"/>
      <c r="O10" s="66"/>
      <c r="P10" s="66"/>
      <c r="Q10" s="66"/>
      <c r="R10" s="66"/>
      <c r="S10" s="66"/>
      <c r="T10" s="66">
        <f>1157050</f>
        <v>1157050</v>
      </c>
      <c r="U10" s="66">
        <f>842950</f>
        <v>842950</v>
      </c>
      <c r="V10" s="66"/>
      <c r="W10" s="6">
        <f t="shared" si="1"/>
        <v>0</v>
      </c>
      <c r="X10" s="59"/>
      <c r="Y10" s="6">
        <f t="shared" si="2"/>
        <v>0</v>
      </c>
      <c r="Z10" s="6">
        <f t="shared" si="3"/>
        <v>2000000</v>
      </c>
    </row>
    <row r="11" spans="1:26" ht="30.75">
      <c r="A11" s="69" t="s">
        <v>54</v>
      </c>
      <c r="B11" s="70"/>
      <c r="C11" s="71"/>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14062503.600000001</v>
      </c>
      <c r="T11" s="12">
        <f t="shared" si="5"/>
        <v>17894661</v>
      </c>
      <c r="U11" s="12">
        <f t="shared" si="5"/>
        <v>29800554.13</v>
      </c>
      <c r="V11" s="12">
        <f t="shared" si="5"/>
        <v>18148790.47</v>
      </c>
      <c r="W11" s="6">
        <f aca="true" t="shared" si="6" ref="W11:W105">I11-K11-L11-M11-N11-O11-P11-Q11-R11-S11-T11-U11-V11</f>
        <v>3.3527612686157227E-08</v>
      </c>
      <c r="X11" s="12">
        <f t="shared" si="5"/>
        <v>43130504.730000004</v>
      </c>
      <c r="Y11" s="6">
        <f>K11+L11+M11+N11+O11+P11+Q11+R11+S11-X11</f>
        <v>32377799.709999993</v>
      </c>
      <c r="Z11" s="6">
        <f>I11-X11</f>
        <v>98221805.31000002</v>
      </c>
    </row>
    <row r="12" spans="1:26" ht="30.75">
      <c r="A12" s="69" t="s">
        <v>55</v>
      </c>
      <c r="B12" s="70"/>
      <c r="C12" s="71"/>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14062503.600000001</v>
      </c>
      <c r="T12" s="12">
        <f t="shared" si="7"/>
        <v>17894661</v>
      </c>
      <c r="U12" s="12">
        <f t="shared" si="7"/>
        <v>29800554.13</v>
      </c>
      <c r="V12" s="12">
        <f t="shared" si="7"/>
        <v>18148790.47</v>
      </c>
      <c r="W12" s="6">
        <f t="shared" si="6"/>
        <v>3.3527612686157227E-08</v>
      </c>
      <c r="X12" s="12">
        <f t="shared" si="7"/>
        <v>43130504.730000004</v>
      </c>
      <c r="Y12" s="6">
        <f aca="true" t="shared" si="8" ref="Y12:Y86">K12+L12+M12+N12+O12+P12+Q12+R12+S12-X12</f>
        <v>32377799.709999993</v>
      </c>
      <c r="Z12" s="6">
        <f aca="true" t="shared" si="9" ref="Z12:Z26">I12-X12</f>
        <v>98221805.31000002</v>
      </c>
    </row>
    <row r="13" spans="1:26" ht="15">
      <c r="A13" s="72" t="s">
        <v>119</v>
      </c>
      <c r="B13" s="73">
        <v>1010</v>
      </c>
      <c r="C13" s="72" t="s">
        <v>121</v>
      </c>
      <c r="D13" s="74"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5"/>
      <c r="B14" s="76"/>
      <c r="C14" s="75"/>
      <c r="D14" s="77"/>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15">
      <c r="A15" s="75"/>
      <c r="B15" s="76"/>
      <c r="C15" s="75"/>
      <c r="D15" s="77"/>
      <c r="E15" s="21" t="s">
        <v>869</v>
      </c>
      <c r="F15" s="14">
        <v>3110</v>
      </c>
      <c r="G15" s="1"/>
      <c r="H15" s="23"/>
      <c r="I15" s="6">
        <f>75000</f>
        <v>75000</v>
      </c>
      <c r="J15" s="28"/>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15">
      <c r="A16" s="75"/>
      <c r="B16" s="76"/>
      <c r="C16" s="75"/>
      <c r="D16" s="77"/>
      <c r="E16" s="21" t="s">
        <v>864</v>
      </c>
      <c r="F16" s="14">
        <v>3110</v>
      </c>
      <c r="G16" s="1"/>
      <c r="H16" s="23"/>
      <c r="I16" s="6">
        <v>50000</v>
      </c>
      <c r="J16" s="28"/>
      <c r="K16" s="6"/>
      <c r="L16" s="6"/>
      <c r="M16" s="6"/>
      <c r="N16" s="6"/>
      <c r="O16" s="6"/>
      <c r="P16" s="6"/>
      <c r="Q16" s="6"/>
      <c r="R16" s="6"/>
      <c r="S16" s="6"/>
      <c r="T16" s="6"/>
      <c r="U16" s="6"/>
      <c r="V16" s="6">
        <f>50000</f>
        <v>50000</v>
      </c>
      <c r="W16" s="6">
        <f t="shared" si="11"/>
        <v>0</v>
      </c>
      <c r="X16" s="6"/>
      <c r="Y16" s="6">
        <f t="shared" si="13"/>
        <v>0</v>
      </c>
      <c r="Z16" s="6">
        <f t="shared" si="12"/>
        <v>50000</v>
      </c>
    </row>
    <row r="17" spans="1:26" ht="15">
      <c r="A17" s="75"/>
      <c r="B17" s="76"/>
      <c r="C17" s="75"/>
      <c r="D17" s="77"/>
      <c r="E17" s="21" t="s">
        <v>865</v>
      </c>
      <c r="F17" s="14">
        <v>3110</v>
      </c>
      <c r="G17" s="1"/>
      <c r="H17" s="23"/>
      <c r="I17" s="6">
        <v>50000</v>
      </c>
      <c r="J17" s="28"/>
      <c r="K17" s="6"/>
      <c r="L17" s="6"/>
      <c r="M17" s="6"/>
      <c r="N17" s="6"/>
      <c r="O17" s="6"/>
      <c r="P17" s="6"/>
      <c r="Q17" s="6"/>
      <c r="R17" s="6"/>
      <c r="S17" s="6"/>
      <c r="T17" s="6"/>
      <c r="U17" s="6"/>
      <c r="V17" s="6">
        <f>50000</f>
        <v>50000</v>
      </c>
      <c r="W17" s="6">
        <f t="shared" si="11"/>
        <v>0</v>
      </c>
      <c r="X17" s="6"/>
      <c r="Y17" s="6">
        <f t="shared" si="13"/>
        <v>0</v>
      </c>
      <c r="Z17" s="6">
        <f t="shared" si="12"/>
        <v>50000</v>
      </c>
    </row>
    <row r="18" spans="1:26" ht="15">
      <c r="A18" s="75"/>
      <c r="B18" s="76"/>
      <c r="C18" s="75"/>
      <c r="D18" s="77"/>
      <c r="E18" s="21" t="s">
        <v>870</v>
      </c>
      <c r="F18" s="14">
        <v>3110</v>
      </c>
      <c r="G18" s="1"/>
      <c r="H18" s="23"/>
      <c r="I18" s="6">
        <v>77000</v>
      </c>
      <c r="J18" s="28"/>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5"/>
      <c r="B19" s="76"/>
      <c r="C19" s="75"/>
      <c r="D19" s="77"/>
      <c r="E19" s="21" t="s">
        <v>873</v>
      </c>
      <c r="F19" s="14">
        <v>3132</v>
      </c>
      <c r="G19" s="1"/>
      <c r="H19" s="23"/>
      <c r="I19" s="6">
        <f>1000000</f>
        <v>1000000</v>
      </c>
      <c r="J19" s="28"/>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5"/>
      <c r="B20" s="76"/>
      <c r="C20" s="75"/>
      <c r="D20" s="77"/>
      <c r="E20" s="21" t="s">
        <v>874</v>
      </c>
      <c r="F20" s="14">
        <v>3132</v>
      </c>
      <c r="G20" s="1"/>
      <c r="H20" s="23"/>
      <c r="I20" s="6">
        <f>814000</f>
        <v>814000</v>
      </c>
      <c r="J20" s="28"/>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15">
      <c r="A21" s="75"/>
      <c r="B21" s="76"/>
      <c r="C21" s="75"/>
      <c r="D21" s="77"/>
      <c r="E21" s="2" t="s">
        <v>359</v>
      </c>
      <c r="F21" s="14">
        <v>3132</v>
      </c>
      <c r="G21" s="1"/>
      <c r="H21" s="23"/>
      <c r="I21" s="6">
        <v>660000</v>
      </c>
      <c r="J21" s="28"/>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15">
      <c r="A22" s="75"/>
      <c r="B22" s="76"/>
      <c r="C22" s="75"/>
      <c r="D22" s="77"/>
      <c r="E22" s="2" t="s">
        <v>863</v>
      </c>
      <c r="F22" s="14">
        <v>3132</v>
      </c>
      <c r="G22" s="1"/>
      <c r="H22" s="23"/>
      <c r="I22" s="6">
        <v>350000</v>
      </c>
      <c r="J22" s="28"/>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15">
      <c r="A23" s="75"/>
      <c r="B23" s="76"/>
      <c r="C23" s="75"/>
      <c r="D23" s="77"/>
      <c r="E23" s="2" t="s">
        <v>360</v>
      </c>
      <c r="F23" s="14">
        <v>3132</v>
      </c>
      <c r="G23" s="1"/>
      <c r="H23" s="23"/>
      <c r="I23" s="6">
        <v>1080</v>
      </c>
      <c r="J23" s="28"/>
      <c r="K23" s="6"/>
      <c r="L23" s="6"/>
      <c r="M23" s="6"/>
      <c r="N23" s="6"/>
      <c r="O23" s="6"/>
      <c r="P23" s="6"/>
      <c r="Q23" s="6"/>
      <c r="R23" s="6"/>
      <c r="S23" s="6"/>
      <c r="T23" s="6"/>
      <c r="U23" s="6"/>
      <c r="V23" s="6">
        <v>1080</v>
      </c>
      <c r="W23" s="6">
        <f t="shared" si="6"/>
        <v>0</v>
      </c>
      <c r="X23" s="6"/>
      <c r="Y23" s="6">
        <f t="shared" si="8"/>
        <v>0</v>
      </c>
      <c r="Z23" s="6">
        <f t="shared" si="9"/>
        <v>1080</v>
      </c>
    </row>
    <row r="24" spans="1:26" ht="15">
      <c r="A24" s="75"/>
      <c r="B24" s="76"/>
      <c r="C24" s="75"/>
      <c r="D24" s="77"/>
      <c r="E24" s="2" t="s">
        <v>474</v>
      </c>
      <c r="F24" s="14">
        <v>3132</v>
      </c>
      <c r="G24" s="1"/>
      <c r="H24" s="23"/>
      <c r="I24" s="6">
        <f>3500000+628890-1000000</f>
        <v>3128890</v>
      </c>
      <c r="J24" s="28"/>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15">
      <c r="A25" s="75"/>
      <c r="B25" s="76"/>
      <c r="C25" s="75"/>
      <c r="D25" s="77"/>
      <c r="E25" s="2" t="s">
        <v>361</v>
      </c>
      <c r="F25" s="14">
        <v>3132</v>
      </c>
      <c r="G25" s="1"/>
      <c r="H25" s="23"/>
      <c r="I25" s="6">
        <v>1490</v>
      </c>
      <c r="J25" s="28"/>
      <c r="K25" s="6"/>
      <c r="L25" s="6"/>
      <c r="M25" s="6"/>
      <c r="N25" s="6">
        <v>1490</v>
      </c>
      <c r="O25" s="6"/>
      <c r="P25" s="6"/>
      <c r="Q25" s="6"/>
      <c r="R25" s="6"/>
      <c r="S25" s="6"/>
      <c r="T25" s="6"/>
      <c r="U25" s="6"/>
      <c r="V25" s="6"/>
      <c r="W25" s="6">
        <f t="shared" si="6"/>
        <v>0</v>
      </c>
      <c r="X25" s="6"/>
      <c r="Y25" s="6">
        <f t="shared" si="8"/>
        <v>1490</v>
      </c>
      <c r="Z25" s="6">
        <f t="shared" si="9"/>
        <v>1490</v>
      </c>
    </row>
    <row r="26" spans="1:26" ht="46.5">
      <c r="A26" s="75"/>
      <c r="B26" s="76"/>
      <c r="C26" s="75"/>
      <c r="D26" s="77"/>
      <c r="E26" s="2" t="s">
        <v>362</v>
      </c>
      <c r="F26" s="14">
        <v>3132</v>
      </c>
      <c r="G26" s="1"/>
      <c r="H26" s="23"/>
      <c r="I26" s="6">
        <v>14000</v>
      </c>
      <c r="J26" s="28"/>
      <c r="K26" s="6"/>
      <c r="L26" s="6"/>
      <c r="M26" s="6"/>
      <c r="N26" s="6"/>
      <c r="O26" s="6"/>
      <c r="P26" s="6"/>
      <c r="Q26" s="6"/>
      <c r="R26" s="6"/>
      <c r="S26" s="6"/>
      <c r="T26" s="6"/>
      <c r="U26" s="6"/>
      <c r="V26" s="6">
        <v>14000</v>
      </c>
      <c r="W26" s="6">
        <f t="shared" si="6"/>
        <v>0</v>
      </c>
      <c r="X26" s="6"/>
      <c r="Y26" s="6">
        <f t="shared" si="8"/>
        <v>0</v>
      </c>
      <c r="Z26" s="6">
        <f t="shared" si="9"/>
        <v>14000</v>
      </c>
    </row>
    <row r="27" spans="1:26" ht="15">
      <c r="A27" s="75"/>
      <c r="B27" s="76"/>
      <c r="C27" s="75"/>
      <c r="D27" s="77"/>
      <c r="E27" s="2" t="s">
        <v>871</v>
      </c>
      <c r="F27" s="14">
        <v>3132</v>
      </c>
      <c r="G27" s="1"/>
      <c r="H27" s="23"/>
      <c r="I27" s="6">
        <f>428781.76</f>
        <v>428781.76</v>
      </c>
      <c r="J27" s="28"/>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15">
      <c r="A28" s="75"/>
      <c r="B28" s="76"/>
      <c r="C28" s="75"/>
      <c r="D28" s="77"/>
      <c r="E28" s="2" t="s">
        <v>358</v>
      </c>
      <c r="F28" s="14">
        <v>3132</v>
      </c>
      <c r="G28" s="1"/>
      <c r="H28" s="23"/>
      <c r="I28" s="6">
        <v>600000</v>
      </c>
      <c r="J28" s="28"/>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15">
      <c r="A29" s="75"/>
      <c r="B29" s="76"/>
      <c r="C29" s="75"/>
      <c r="D29" s="77"/>
      <c r="E29" s="2" t="s">
        <v>363</v>
      </c>
      <c r="F29" s="14">
        <v>3132</v>
      </c>
      <c r="G29" s="1"/>
      <c r="H29" s="23"/>
      <c r="I29" s="6">
        <v>1620</v>
      </c>
      <c r="J29" s="28"/>
      <c r="K29" s="6"/>
      <c r="L29" s="6"/>
      <c r="M29" s="6"/>
      <c r="N29" s="6">
        <v>1620</v>
      </c>
      <c r="O29" s="6"/>
      <c r="P29" s="6"/>
      <c r="Q29" s="6"/>
      <c r="R29" s="6"/>
      <c r="S29" s="6"/>
      <c r="T29" s="6"/>
      <c r="U29" s="6"/>
      <c r="V29" s="6"/>
      <c r="W29" s="6">
        <f t="shared" si="6"/>
        <v>0</v>
      </c>
      <c r="X29" s="6"/>
      <c r="Y29" s="6">
        <f t="shared" si="8"/>
        <v>1620</v>
      </c>
      <c r="Z29" s="6">
        <f t="shared" si="14"/>
        <v>1620</v>
      </c>
    </row>
    <row r="30" spans="1:26" ht="15">
      <c r="A30" s="75"/>
      <c r="B30" s="76"/>
      <c r="C30" s="75"/>
      <c r="D30" s="77"/>
      <c r="E30" s="2" t="s">
        <v>245</v>
      </c>
      <c r="F30" s="14">
        <v>3132</v>
      </c>
      <c r="G30" s="1"/>
      <c r="H30" s="23"/>
      <c r="I30" s="6">
        <f>1000000-35000+2380000</f>
        <v>3345000</v>
      </c>
      <c r="J30" s="28"/>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15">
      <c r="A31" s="75"/>
      <c r="B31" s="76"/>
      <c r="C31" s="75"/>
      <c r="D31" s="77"/>
      <c r="E31" s="2" t="s">
        <v>246</v>
      </c>
      <c r="F31" s="14">
        <v>3132</v>
      </c>
      <c r="G31" s="1"/>
      <c r="H31" s="23"/>
      <c r="I31" s="6">
        <v>250000</v>
      </c>
      <c r="J31" s="28"/>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15">
      <c r="A32" s="75"/>
      <c r="B32" s="76"/>
      <c r="C32" s="75"/>
      <c r="D32" s="77"/>
      <c r="E32" s="2" t="s">
        <v>475</v>
      </c>
      <c r="F32" s="14">
        <v>3132</v>
      </c>
      <c r="G32" s="1"/>
      <c r="H32" s="23"/>
      <c r="I32" s="6">
        <v>710</v>
      </c>
      <c r="J32" s="28"/>
      <c r="K32" s="6"/>
      <c r="L32" s="6"/>
      <c r="M32" s="6"/>
      <c r="N32" s="6"/>
      <c r="O32" s="6"/>
      <c r="P32" s="6"/>
      <c r="Q32" s="6"/>
      <c r="R32" s="6"/>
      <c r="S32" s="6"/>
      <c r="T32" s="6"/>
      <c r="U32" s="6"/>
      <c r="V32" s="6">
        <v>710</v>
      </c>
      <c r="W32" s="6">
        <f t="shared" si="6"/>
        <v>0</v>
      </c>
      <c r="X32" s="6"/>
      <c r="Y32" s="6">
        <f t="shared" si="8"/>
        <v>0</v>
      </c>
      <c r="Z32" s="6">
        <f t="shared" si="14"/>
        <v>710</v>
      </c>
    </row>
    <row r="33" spans="1:26" ht="15">
      <c r="A33" s="75"/>
      <c r="B33" s="76"/>
      <c r="C33" s="75"/>
      <c r="D33" s="77"/>
      <c r="E33" s="2" t="s">
        <v>247</v>
      </c>
      <c r="F33" s="14">
        <v>3132</v>
      </c>
      <c r="G33" s="1"/>
      <c r="H33" s="23"/>
      <c r="I33" s="6">
        <f>600000+300000</f>
        <v>900000</v>
      </c>
      <c r="J33" s="28"/>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15">
      <c r="A34" s="75"/>
      <c r="B34" s="76"/>
      <c r="C34" s="75"/>
      <c r="D34" s="77"/>
      <c r="E34" s="2" t="s">
        <v>364</v>
      </c>
      <c r="F34" s="14">
        <v>3132</v>
      </c>
      <c r="G34" s="1"/>
      <c r="H34" s="23"/>
      <c r="I34" s="6">
        <v>2420</v>
      </c>
      <c r="J34" s="28"/>
      <c r="K34" s="6"/>
      <c r="L34" s="6"/>
      <c r="M34" s="6"/>
      <c r="N34" s="6"/>
      <c r="O34" s="6">
        <v>2420</v>
      </c>
      <c r="P34" s="6"/>
      <c r="Q34" s="6"/>
      <c r="R34" s="6"/>
      <c r="S34" s="6"/>
      <c r="T34" s="6"/>
      <c r="U34" s="6"/>
      <c r="V34" s="6"/>
      <c r="W34" s="6">
        <f t="shared" si="6"/>
        <v>0</v>
      </c>
      <c r="X34" s="6">
        <f>2415</f>
        <v>2415</v>
      </c>
      <c r="Y34" s="6">
        <f t="shared" si="8"/>
        <v>5</v>
      </c>
      <c r="Z34" s="6">
        <f t="shared" si="14"/>
        <v>5</v>
      </c>
    </row>
    <row r="35" spans="1:26" ht="15">
      <c r="A35" s="75"/>
      <c r="B35" s="76"/>
      <c r="C35" s="75"/>
      <c r="D35" s="77"/>
      <c r="E35" s="2" t="s">
        <v>365</v>
      </c>
      <c r="F35" s="14">
        <v>3132</v>
      </c>
      <c r="G35" s="1"/>
      <c r="H35" s="23"/>
      <c r="I35" s="6">
        <v>2710</v>
      </c>
      <c r="J35" s="28"/>
      <c r="K35" s="6"/>
      <c r="L35" s="6"/>
      <c r="M35" s="6"/>
      <c r="N35" s="6">
        <v>2710</v>
      </c>
      <c r="O35" s="6"/>
      <c r="P35" s="6"/>
      <c r="Q35" s="6"/>
      <c r="R35" s="6"/>
      <c r="S35" s="6"/>
      <c r="T35" s="6"/>
      <c r="U35" s="6"/>
      <c r="V35" s="6"/>
      <c r="W35" s="6">
        <f t="shared" si="6"/>
        <v>0</v>
      </c>
      <c r="X35" s="6"/>
      <c r="Y35" s="6">
        <f t="shared" si="8"/>
        <v>2710</v>
      </c>
      <c r="Z35" s="6">
        <f t="shared" si="14"/>
        <v>2710</v>
      </c>
    </row>
    <row r="36" spans="1:26" ht="15">
      <c r="A36" s="75"/>
      <c r="B36" s="76"/>
      <c r="C36" s="75"/>
      <c r="D36" s="77"/>
      <c r="E36" s="2" t="s">
        <v>477</v>
      </c>
      <c r="F36" s="14">
        <v>3132</v>
      </c>
      <c r="G36" s="1"/>
      <c r="H36" s="23"/>
      <c r="I36" s="6">
        <v>200000</v>
      </c>
      <c r="J36" s="28"/>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5"/>
      <c r="B37" s="76"/>
      <c r="C37" s="75"/>
      <c r="D37" s="77"/>
      <c r="E37" s="2" t="s">
        <v>476</v>
      </c>
      <c r="F37" s="14">
        <v>3132</v>
      </c>
      <c r="G37" s="1"/>
      <c r="H37" s="23"/>
      <c r="I37" s="6">
        <f>900000+400000</f>
        <v>1300000</v>
      </c>
      <c r="J37" s="28"/>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15" hidden="1">
      <c r="A38" s="75"/>
      <c r="B38" s="76"/>
      <c r="C38" s="75"/>
      <c r="D38" s="77"/>
      <c r="E38" s="2" t="s">
        <v>478</v>
      </c>
      <c r="F38" s="14">
        <v>3132</v>
      </c>
      <c r="G38" s="1"/>
      <c r="H38" s="23"/>
      <c r="I38" s="6">
        <f>900000-900000</f>
        <v>0</v>
      </c>
      <c r="J38" s="28"/>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15">
      <c r="A39" s="75"/>
      <c r="B39" s="76"/>
      <c r="C39" s="75"/>
      <c r="D39" s="77"/>
      <c r="E39" s="2" t="s">
        <v>479</v>
      </c>
      <c r="F39" s="14">
        <v>3132</v>
      </c>
      <c r="G39" s="1"/>
      <c r="H39" s="23"/>
      <c r="I39" s="6">
        <f>500000+50000</f>
        <v>550000</v>
      </c>
      <c r="J39" s="28"/>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15">
      <c r="A40" s="75"/>
      <c r="B40" s="76"/>
      <c r="C40" s="75"/>
      <c r="D40" s="77"/>
      <c r="E40" s="2" t="s">
        <v>366</v>
      </c>
      <c r="F40" s="14">
        <v>3132</v>
      </c>
      <c r="G40" s="1"/>
      <c r="H40" s="23"/>
      <c r="I40" s="6">
        <v>1430</v>
      </c>
      <c r="J40" s="28"/>
      <c r="K40" s="6"/>
      <c r="L40" s="6"/>
      <c r="M40" s="6"/>
      <c r="N40" s="6"/>
      <c r="O40" s="6"/>
      <c r="P40" s="6"/>
      <c r="Q40" s="6"/>
      <c r="R40" s="6"/>
      <c r="S40" s="6"/>
      <c r="T40" s="6"/>
      <c r="U40" s="6"/>
      <c r="V40" s="6">
        <v>1430</v>
      </c>
      <c r="W40" s="6">
        <f t="shared" si="6"/>
        <v>0</v>
      </c>
      <c r="X40" s="6"/>
      <c r="Y40" s="6">
        <f t="shared" si="8"/>
        <v>0</v>
      </c>
      <c r="Z40" s="6">
        <f t="shared" si="14"/>
        <v>1430</v>
      </c>
    </row>
    <row r="41" spans="1:26" ht="15">
      <c r="A41" s="75"/>
      <c r="B41" s="76"/>
      <c r="C41" s="75"/>
      <c r="D41" s="77"/>
      <c r="E41" s="2" t="s">
        <v>816</v>
      </c>
      <c r="F41" s="14">
        <v>3132</v>
      </c>
      <c r="G41" s="1"/>
      <c r="H41" s="23"/>
      <c r="I41" s="6">
        <f>321610</f>
        <v>321610</v>
      </c>
      <c r="J41" s="28"/>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15">
      <c r="A42" s="75"/>
      <c r="B42" s="76"/>
      <c r="C42" s="75"/>
      <c r="D42" s="77"/>
      <c r="E42" s="2" t="s">
        <v>656</v>
      </c>
      <c r="F42" s="14">
        <v>3132</v>
      </c>
      <c r="G42" s="1"/>
      <c r="H42" s="23"/>
      <c r="I42" s="6">
        <v>300000</v>
      </c>
      <c r="J42" s="28"/>
      <c r="K42" s="6"/>
      <c r="L42" s="6"/>
      <c r="M42" s="6"/>
      <c r="N42" s="6"/>
      <c r="O42" s="6"/>
      <c r="P42" s="6"/>
      <c r="Q42" s="6"/>
      <c r="R42" s="6"/>
      <c r="S42" s="6"/>
      <c r="T42" s="6">
        <v>180000</v>
      </c>
      <c r="U42" s="6">
        <v>120000</v>
      </c>
      <c r="V42" s="6"/>
      <c r="W42" s="6">
        <f t="shared" si="6"/>
        <v>0</v>
      </c>
      <c r="X42" s="6"/>
      <c r="Y42" s="6">
        <f t="shared" si="8"/>
        <v>0</v>
      </c>
      <c r="Z42" s="6">
        <f t="shared" si="14"/>
        <v>300000</v>
      </c>
    </row>
    <row r="43" spans="1:26" ht="15">
      <c r="A43" s="75"/>
      <c r="B43" s="76"/>
      <c r="C43" s="75"/>
      <c r="D43" s="77"/>
      <c r="E43" s="2" t="s">
        <v>367</v>
      </c>
      <c r="F43" s="14">
        <v>3132</v>
      </c>
      <c r="G43" s="1"/>
      <c r="H43" s="23"/>
      <c r="I43" s="6">
        <v>402930</v>
      </c>
      <c r="J43" s="28"/>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15">
      <c r="A44" s="75"/>
      <c r="B44" s="76"/>
      <c r="C44" s="75"/>
      <c r="D44" s="77"/>
      <c r="E44" s="2" t="s">
        <v>480</v>
      </c>
      <c r="F44" s="14">
        <v>3132</v>
      </c>
      <c r="G44" s="1"/>
      <c r="H44" s="23"/>
      <c r="I44" s="6">
        <v>900000</v>
      </c>
      <c r="J44" s="28"/>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15">
      <c r="A45" s="75"/>
      <c r="B45" s="76"/>
      <c r="C45" s="75"/>
      <c r="D45" s="77"/>
      <c r="E45" s="2" t="s">
        <v>368</v>
      </c>
      <c r="F45" s="14">
        <v>3132</v>
      </c>
      <c r="G45" s="1"/>
      <c r="H45" s="23"/>
      <c r="I45" s="6">
        <v>595720</v>
      </c>
      <c r="J45" s="28"/>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15">
      <c r="A46" s="75"/>
      <c r="B46" s="76"/>
      <c r="C46" s="75"/>
      <c r="D46" s="77"/>
      <c r="E46" s="2" t="s">
        <v>765</v>
      </c>
      <c r="F46" s="14">
        <v>3132</v>
      </c>
      <c r="G46" s="1"/>
      <c r="H46" s="23"/>
      <c r="I46" s="6">
        <v>500000</v>
      </c>
      <c r="J46" s="28"/>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15">
      <c r="A47" s="75"/>
      <c r="B47" s="76"/>
      <c r="C47" s="75"/>
      <c r="D47" s="77"/>
      <c r="E47" s="2" t="s">
        <v>369</v>
      </c>
      <c r="F47" s="14">
        <v>3132</v>
      </c>
      <c r="G47" s="1"/>
      <c r="H47" s="23"/>
      <c r="I47" s="6">
        <v>1620</v>
      </c>
      <c r="J47" s="28"/>
      <c r="K47" s="6"/>
      <c r="L47" s="6"/>
      <c r="M47" s="6"/>
      <c r="N47" s="6"/>
      <c r="O47" s="6"/>
      <c r="P47" s="6"/>
      <c r="Q47" s="6"/>
      <c r="R47" s="6"/>
      <c r="S47" s="6"/>
      <c r="T47" s="6"/>
      <c r="U47" s="6"/>
      <c r="V47" s="6">
        <v>1620</v>
      </c>
      <c r="W47" s="6">
        <f t="shared" si="6"/>
        <v>0</v>
      </c>
      <c r="X47" s="6"/>
      <c r="Y47" s="6">
        <f t="shared" si="8"/>
        <v>0</v>
      </c>
      <c r="Z47" s="6">
        <f t="shared" si="14"/>
        <v>1620</v>
      </c>
    </row>
    <row r="48" spans="1:26" ht="15" hidden="1">
      <c r="A48" s="75"/>
      <c r="B48" s="76"/>
      <c r="C48" s="75"/>
      <c r="D48" s="77"/>
      <c r="E48" s="2" t="s">
        <v>481</v>
      </c>
      <c r="F48" s="14">
        <v>3132</v>
      </c>
      <c r="G48" s="1"/>
      <c r="H48" s="23"/>
      <c r="I48" s="6">
        <f>400000-400000</f>
        <v>0</v>
      </c>
      <c r="J48" s="28"/>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5"/>
      <c r="B49" s="76"/>
      <c r="C49" s="75"/>
      <c r="D49" s="77"/>
      <c r="E49" s="2" t="s">
        <v>482</v>
      </c>
      <c r="F49" s="14">
        <v>3132</v>
      </c>
      <c r="G49" s="1"/>
      <c r="H49" s="23"/>
      <c r="I49" s="6">
        <v>1400000</v>
      </c>
      <c r="J49" s="28"/>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15" hidden="1">
      <c r="A50" s="75"/>
      <c r="B50" s="76"/>
      <c r="C50" s="75"/>
      <c r="D50" s="77"/>
      <c r="E50" s="2" t="s">
        <v>666</v>
      </c>
      <c r="F50" s="14">
        <v>3132</v>
      </c>
      <c r="G50" s="1"/>
      <c r="H50" s="23"/>
      <c r="I50" s="6">
        <f>400000-400000</f>
        <v>0</v>
      </c>
      <c r="J50" s="28"/>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5"/>
      <c r="B51" s="76"/>
      <c r="C51" s="75"/>
      <c r="D51" s="77"/>
      <c r="E51" s="2" t="s">
        <v>824</v>
      </c>
      <c r="F51" s="14">
        <v>3132</v>
      </c>
      <c r="G51" s="1"/>
      <c r="H51" s="23"/>
      <c r="I51" s="6">
        <f>500000+400000</f>
        <v>900000</v>
      </c>
      <c r="J51" s="28"/>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5"/>
      <c r="B52" s="76"/>
      <c r="C52" s="75"/>
      <c r="D52" s="77"/>
      <c r="E52" s="2" t="s">
        <v>483</v>
      </c>
      <c r="F52" s="14">
        <v>3132</v>
      </c>
      <c r="G52" s="1"/>
      <c r="H52" s="23"/>
      <c r="I52" s="6">
        <v>700</v>
      </c>
      <c r="J52" s="28"/>
      <c r="K52" s="6"/>
      <c r="L52" s="6"/>
      <c r="M52" s="6"/>
      <c r="N52" s="6"/>
      <c r="O52" s="6"/>
      <c r="P52" s="6"/>
      <c r="Q52" s="6"/>
      <c r="R52" s="6"/>
      <c r="S52" s="6"/>
      <c r="T52" s="6"/>
      <c r="U52" s="6"/>
      <c r="V52" s="6">
        <v>700</v>
      </c>
      <c r="W52" s="6">
        <f t="shared" si="6"/>
        <v>0</v>
      </c>
      <c r="X52" s="6"/>
      <c r="Y52" s="6">
        <f t="shared" si="8"/>
        <v>0</v>
      </c>
      <c r="Z52" s="6">
        <f t="shared" si="14"/>
        <v>700</v>
      </c>
    </row>
    <row r="53" spans="1:26" ht="15">
      <c r="A53" s="75"/>
      <c r="B53" s="76"/>
      <c r="C53" s="75"/>
      <c r="D53" s="77"/>
      <c r="E53" s="2" t="s">
        <v>370</v>
      </c>
      <c r="F53" s="14">
        <v>3132</v>
      </c>
      <c r="G53" s="1"/>
      <c r="H53" s="23"/>
      <c r="I53" s="6">
        <v>586000</v>
      </c>
      <c r="J53" s="28"/>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15">
      <c r="A54" s="75"/>
      <c r="B54" s="76"/>
      <c r="C54" s="75"/>
      <c r="D54" s="77"/>
      <c r="E54" s="2" t="s">
        <v>484</v>
      </c>
      <c r="F54" s="14">
        <v>3132</v>
      </c>
      <c r="G54" s="1"/>
      <c r="H54" s="23"/>
      <c r="I54" s="6">
        <v>510</v>
      </c>
      <c r="J54" s="28"/>
      <c r="K54" s="6"/>
      <c r="L54" s="6"/>
      <c r="M54" s="6"/>
      <c r="N54" s="6"/>
      <c r="O54" s="6"/>
      <c r="P54" s="6"/>
      <c r="Q54" s="6"/>
      <c r="R54" s="6"/>
      <c r="S54" s="6"/>
      <c r="T54" s="6"/>
      <c r="U54" s="6"/>
      <c r="V54" s="6">
        <v>510</v>
      </c>
      <c r="W54" s="6">
        <f t="shared" si="6"/>
        <v>0</v>
      </c>
      <c r="X54" s="6"/>
      <c r="Y54" s="6">
        <f t="shared" si="8"/>
        <v>0</v>
      </c>
      <c r="Z54" s="6">
        <f t="shared" si="14"/>
        <v>510</v>
      </c>
    </row>
    <row r="55" spans="1:26" ht="15">
      <c r="A55" s="75"/>
      <c r="B55" s="76"/>
      <c r="C55" s="75"/>
      <c r="D55" s="77"/>
      <c r="E55" s="2" t="s">
        <v>755</v>
      </c>
      <c r="F55" s="14">
        <v>3132</v>
      </c>
      <c r="G55" s="1"/>
      <c r="H55" s="23"/>
      <c r="I55" s="6">
        <v>300000</v>
      </c>
      <c r="J55" s="28"/>
      <c r="K55" s="6"/>
      <c r="L55" s="6"/>
      <c r="M55" s="6"/>
      <c r="N55" s="6"/>
      <c r="O55" s="6"/>
      <c r="P55" s="6"/>
      <c r="Q55" s="6"/>
      <c r="R55" s="6"/>
      <c r="S55" s="6"/>
      <c r="T55" s="6"/>
      <c r="U55" s="6"/>
      <c r="V55" s="6">
        <v>300000</v>
      </c>
      <c r="W55" s="6">
        <f t="shared" si="6"/>
        <v>0</v>
      </c>
      <c r="X55" s="6"/>
      <c r="Y55" s="6">
        <f t="shared" si="8"/>
        <v>0</v>
      </c>
      <c r="Z55" s="6">
        <f t="shared" si="14"/>
        <v>300000</v>
      </c>
    </row>
    <row r="56" spans="1:26" ht="30.75">
      <c r="A56" s="75"/>
      <c r="B56" s="76"/>
      <c r="C56" s="75"/>
      <c r="D56" s="77"/>
      <c r="E56" s="2" t="s">
        <v>485</v>
      </c>
      <c r="F56" s="14">
        <v>3132</v>
      </c>
      <c r="G56" s="1"/>
      <c r="H56" s="23"/>
      <c r="I56" s="6">
        <v>570000</v>
      </c>
      <c r="J56" s="28"/>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5"/>
      <c r="B57" s="76"/>
      <c r="C57" s="75"/>
      <c r="D57" s="77"/>
      <c r="E57" s="2" t="s">
        <v>486</v>
      </c>
      <c r="F57" s="14">
        <v>3132</v>
      </c>
      <c r="G57" s="1"/>
      <c r="H57" s="23"/>
      <c r="I57" s="6">
        <v>500000</v>
      </c>
      <c r="J57" s="28"/>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15" hidden="1">
      <c r="A58" s="75"/>
      <c r="B58" s="76"/>
      <c r="C58" s="75"/>
      <c r="D58" s="77"/>
      <c r="E58" s="2" t="s">
        <v>487</v>
      </c>
      <c r="F58" s="14">
        <v>3132</v>
      </c>
      <c r="G58" s="1"/>
      <c r="H58" s="23"/>
      <c r="I58" s="6">
        <f>500000-500000</f>
        <v>0</v>
      </c>
      <c r="J58" s="28"/>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15">
      <c r="A59" s="75"/>
      <c r="B59" s="76"/>
      <c r="C59" s="75"/>
      <c r="D59" s="77"/>
      <c r="E59" s="2" t="s">
        <v>872</v>
      </c>
      <c r="F59" s="14">
        <v>3132</v>
      </c>
      <c r="G59" s="1"/>
      <c r="H59" s="23"/>
      <c r="I59" s="6">
        <f>170000</f>
        <v>170000</v>
      </c>
      <c r="J59" s="28"/>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15">
      <c r="A60" s="75"/>
      <c r="B60" s="76"/>
      <c r="C60" s="75"/>
      <c r="D60" s="77"/>
      <c r="E60" s="2" t="s">
        <v>488</v>
      </c>
      <c r="F60" s="14">
        <v>3132</v>
      </c>
      <c r="G60" s="1"/>
      <c r="H60" s="23"/>
      <c r="I60" s="6">
        <v>1500000</v>
      </c>
      <c r="J60" s="28"/>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15">
      <c r="A61" s="75"/>
      <c r="B61" s="76"/>
      <c r="C61" s="75"/>
      <c r="D61" s="77"/>
      <c r="E61" s="2" t="s">
        <v>664</v>
      </c>
      <c r="F61" s="14">
        <v>3132</v>
      </c>
      <c r="G61" s="1"/>
      <c r="H61" s="23"/>
      <c r="I61" s="6">
        <f>1490000</f>
        <v>1490000</v>
      </c>
      <c r="J61" s="28"/>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5"/>
      <c r="B62" s="76"/>
      <c r="C62" s="75"/>
      <c r="D62" s="77"/>
      <c r="E62" s="2" t="s">
        <v>890</v>
      </c>
      <c r="F62" s="14">
        <v>3132</v>
      </c>
      <c r="G62" s="1"/>
      <c r="H62" s="23"/>
      <c r="I62" s="6">
        <f>1075000</f>
        <v>1075000</v>
      </c>
      <c r="J62" s="28"/>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5"/>
      <c r="B63" s="76"/>
      <c r="C63" s="75"/>
      <c r="D63" s="77"/>
      <c r="E63" s="2" t="s">
        <v>489</v>
      </c>
      <c r="F63" s="14">
        <v>3132</v>
      </c>
      <c r="G63" s="1"/>
      <c r="H63" s="23"/>
      <c r="I63" s="6">
        <v>900000</v>
      </c>
      <c r="J63" s="28"/>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15">
      <c r="A64" s="75"/>
      <c r="B64" s="76"/>
      <c r="C64" s="75"/>
      <c r="D64" s="77"/>
      <c r="E64" s="2" t="s">
        <v>490</v>
      </c>
      <c r="F64" s="14">
        <v>3132</v>
      </c>
      <c r="G64" s="1"/>
      <c r="H64" s="23"/>
      <c r="I64" s="6">
        <f>1500000-10000</f>
        <v>1490000</v>
      </c>
      <c r="J64" s="28"/>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5"/>
      <c r="B65" s="76"/>
      <c r="C65" s="75"/>
      <c r="D65" s="77"/>
      <c r="E65" s="2" t="s">
        <v>371</v>
      </c>
      <c r="F65" s="14">
        <v>3132</v>
      </c>
      <c r="G65" s="1"/>
      <c r="H65" s="23"/>
      <c r="I65" s="6">
        <v>1150</v>
      </c>
      <c r="J65" s="28"/>
      <c r="K65" s="6"/>
      <c r="L65" s="6"/>
      <c r="M65" s="6"/>
      <c r="N65" s="6"/>
      <c r="O65" s="6"/>
      <c r="P65" s="6"/>
      <c r="Q65" s="6"/>
      <c r="R65" s="6"/>
      <c r="S65" s="6"/>
      <c r="T65" s="6"/>
      <c r="U65" s="6"/>
      <c r="V65" s="6">
        <v>1150</v>
      </c>
      <c r="W65" s="6">
        <f t="shared" si="6"/>
        <v>0</v>
      </c>
      <c r="X65" s="6"/>
      <c r="Y65" s="6">
        <f t="shared" si="8"/>
        <v>0</v>
      </c>
      <c r="Z65" s="6">
        <f t="shared" si="14"/>
        <v>1150</v>
      </c>
    </row>
    <row r="66" spans="1:26" ht="15">
      <c r="A66" s="75"/>
      <c r="B66" s="76"/>
      <c r="C66" s="75"/>
      <c r="D66" s="77"/>
      <c r="E66" s="2" t="s">
        <v>491</v>
      </c>
      <c r="F66" s="14">
        <v>3132</v>
      </c>
      <c r="G66" s="1"/>
      <c r="H66" s="23"/>
      <c r="I66" s="6">
        <v>3780</v>
      </c>
      <c r="J66" s="28"/>
      <c r="K66" s="6"/>
      <c r="L66" s="6"/>
      <c r="M66" s="6"/>
      <c r="N66" s="6"/>
      <c r="O66" s="6"/>
      <c r="P66" s="6"/>
      <c r="Q66" s="6"/>
      <c r="R66" s="6"/>
      <c r="S66" s="6"/>
      <c r="T66" s="6"/>
      <c r="U66" s="6"/>
      <c r="V66" s="6">
        <v>3780</v>
      </c>
      <c r="W66" s="6">
        <f t="shared" si="6"/>
        <v>0</v>
      </c>
      <c r="X66" s="6"/>
      <c r="Y66" s="6">
        <f t="shared" si="8"/>
        <v>0</v>
      </c>
      <c r="Z66" s="6">
        <f t="shared" si="14"/>
        <v>3780</v>
      </c>
    </row>
    <row r="67" spans="1:26" ht="30.75">
      <c r="A67" s="75"/>
      <c r="B67" s="76"/>
      <c r="C67" s="75"/>
      <c r="D67" s="77"/>
      <c r="E67" s="2" t="s">
        <v>492</v>
      </c>
      <c r="F67" s="14">
        <v>3132</v>
      </c>
      <c r="G67" s="1"/>
      <c r="H67" s="23"/>
      <c r="I67" s="6">
        <v>960</v>
      </c>
      <c r="J67" s="28"/>
      <c r="K67" s="6"/>
      <c r="L67" s="6"/>
      <c r="M67" s="6"/>
      <c r="N67" s="6"/>
      <c r="O67" s="6"/>
      <c r="P67" s="6"/>
      <c r="Q67" s="6"/>
      <c r="R67" s="6"/>
      <c r="S67" s="6"/>
      <c r="T67" s="6"/>
      <c r="U67" s="6"/>
      <c r="V67" s="6">
        <v>960</v>
      </c>
      <c r="W67" s="6">
        <f t="shared" si="6"/>
        <v>0</v>
      </c>
      <c r="X67" s="6"/>
      <c r="Y67" s="6">
        <f t="shared" si="8"/>
        <v>0</v>
      </c>
      <c r="Z67" s="6">
        <f t="shared" si="14"/>
        <v>960</v>
      </c>
    </row>
    <row r="68" spans="1:26" ht="15">
      <c r="A68" s="75"/>
      <c r="B68" s="76"/>
      <c r="C68" s="75"/>
      <c r="D68" s="77"/>
      <c r="E68" s="2" t="s">
        <v>493</v>
      </c>
      <c r="F68" s="14">
        <v>3132</v>
      </c>
      <c r="G68" s="1"/>
      <c r="H68" s="23"/>
      <c r="I68" s="6">
        <v>500000</v>
      </c>
      <c r="J68" s="28"/>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15">
      <c r="A69" s="75"/>
      <c r="B69" s="76"/>
      <c r="C69" s="75"/>
      <c r="D69" s="77"/>
      <c r="E69" s="2" t="s">
        <v>33</v>
      </c>
      <c r="F69" s="14">
        <v>3132</v>
      </c>
      <c r="G69" s="1"/>
      <c r="H69" s="23"/>
      <c r="I69" s="6">
        <v>500000</v>
      </c>
      <c r="J69" s="28"/>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15">
      <c r="A70" s="75"/>
      <c r="B70" s="76"/>
      <c r="C70" s="75"/>
      <c r="D70" s="77"/>
      <c r="E70" s="2" t="s">
        <v>494</v>
      </c>
      <c r="F70" s="14">
        <v>3132</v>
      </c>
      <c r="G70" s="1"/>
      <c r="H70" s="23"/>
      <c r="I70" s="6">
        <v>500000</v>
      </c>
      <c r="J70" s="28"/>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5"/>
      <c r="B71" s="76"/>
      <c r="C71" s="75"/>
      <c r="D71" s="77"/>
      <c r="E71" s="2" t="s">
        <v>495</v>
      </c>
      <c r="F71" s="14">
        <v>3132</v>
      </c>
      <c r="G71" s="1"/>
      <c r="H71" s="23"/>
      <c r="I71" s="6">
        <v>550</v>
      </c>
      <c r="J71" s="28"/>
      <c r="K71" s="6"/>
      <c r="L71" s="6"/>
      <c r="M71" s="6"/>
      <c r="N71" s="6"/>
      <c r="O71" s="6"/>
      <c r="P71" s="6"/>
      <c r="Q71" s="6"/>
      <c r="R71" s="6"/>
      <c r="S71" s="6"/>
      <c r="T71" s="6"/>
      <c r="U71" s="6"/>
      <c r="V71" s="6">
        <v>550</v>
      </c>
      <c r="W71" s="6">
        <f t="shared" si="6"/>
        <v>0</v>
      </c>
      <c r="X71" s="6"/>
      <c r="Y71" s="6">
        <f t="shared" si="8"/>
        <v>0</v>
      </c>
      <c r="Z71" s="6">
        <f t="shared" si="14"/>
        <v>550</v>
      </c>
    </row>
    <row r="72" spans="1:26" ht="15">
      <c r="A72" s="75"/>
      <c r="B72" s="76"/>
      <c r="C72" s="75"/>
      <c r="D72" s="77"/>
      <c r="E72" s="2" t="s">
        <v>372</v>
      </c>
      <c r="F72" s="14">
        <v>3132</v>
      </c>
      <c r="G72" s="1"/>
      <c r="H72" s="23"/>
      <c r="I72" s="6">
        <v>1080</v>
      </c>
      <c r="J72" s="28"/>
      <c r="K72" s="6"/>
      <c r="L72" s="6"/>
      <c r="M72" s="6"/>
      <c r="N72" s="6"/>
      <c r="O72" s="6"/>
      <c r="P72" s="6"/>
      <c r="Q72" s="6"/>
      <c r="R72" s="6"/>
      <c r="S72" s="6"/>
      <c r="T72" s="6"/>
      <c r="U72" s="6"/>
      <c r="V72" s="6">
        <v>1080</v>
      </c>
      <c r="W72" s="6">
        <f t="shared" si="6"/>
        <v>0</v>
      </c>
      <c r="X72" s="6"/>
      <c r="Y72" s="6">
        <f t="shared" si="8"/>
        <v>0</v>
      </c>
      <c r="Z72" s="6">
        <f t="shared" si="14"/>
        <v>1080</v>
      </c>
    </row>
    <row r="73" spans="1:26" ht="15">
      <c r="A73" s="75"/>
      <c r="B73" s="76"/>
      <c r="C73" s="75"/>
      <c r="D73" s="77"/>
      <c r="E73" s="2" t="s">
        <v>496</v>
      </c>
      <c r="F73" s="14">
        <v>3132</v>
      </c>
      <c r="G73" s="1"/>
      <c r="H73" s="23"/>
      <c r="I73" s="6">
        <f>1200000-100000</f>
        <v>1100000</v>
      </c>
      <c r="J73" s="28"/>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5"/>
      <c r="B74" s="76"/>
      <c r="C74" s="75"/>
      <c r="D74" s="77"/>
      <c r="E74" s="2" t="s">
        <v>868</v>
      </c>
      <c r="F74" s="14">
        <v>3132</v>
      </c>
      <c r="G74" s="1"/>
      <c r="H74" s="23"/>
      <c r="I74" s="6">
        <f>100000</f>
        <v>100000</v>
      </c>
      <c r="J74" s="28"/>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15">
      <c r="A75" s="75"/>
      <c r="B75" s="76"/>
      <c r="C75" s="75"/>
      <c r="D75" s="77"/>
      <c r="E75" s="2" t="s">
        <v>497</v>
      </c>
      <c r="F75" s="14">
        <v>3132</v>
      </c>
      <c r="G75" s="1"/>
      <c r="H75" s="23"/>
      <c r="I75" s="6">
        <v>400000</v>
      </c>
      <c r="J75" s="28"/>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15">
      <c r="A76" s="75"/>
      <c r="B76" s="76"/>
      <c r="C76" s="75"/>
      <c r="D76" s="77"/>
      <c r="E76" s="2" t="s">
        <v>498</v>
      </c>
      <c r="F76" s="14">
        <v>3132</v>
      </c>
      <c r="G76" s="1"/>
      <c r="H76" s="23"/>
      <c r="I76" s="6">
        <v>1480000</v>
      </c>
      <c r="J76" s="28"/>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15">
      <c r="A77" s="75"/>
      <c r="B77" s="76"/>
      <c r="C77" s="75"/>
      <c r="D77" s="77"/>
      <c r="E77" s="2" t="s">
        <v>499</v>
      </c>
      <c r="F77" s="14">
        <v>3132</v>
      </c>
      <c r="G77" s="1"/>
      <c r="H77" s="23"/>
      <c r="I77" s="6">
        <v>1330</v>
      </c>
      <c r="J77" s="28"/>
      <c r="K77" s="6"/>
      <c r="L77" s="6"/>
      <c r="M77" s="6"/>
      <c r="N77" s="6"/>
      <c r="O77" s="6"/>
      <c r="P77" s="6"/>
      <c r="Q77" s="6"/>
      <c r="R77" s="6"/>
      <c r="S77" s="6"/>
      <c r="T77" s="6"/>
      <c r="U77" s="6"/>
      <c r="V77" s="6">
        <v>1330</v>
      </c>
      <c r="W77" s="6">
        <f t="shared" si="6"/>
        <v>0</v>
      </c>
      <c r="X77" s="6"/>
      <c r="Y77" s="6">
        <f t="shared" si="8"/>
        <v>0</v>
      </c>
      <c r="Z77" s="6">
        <f t="shared" si="14"/>
        <v>1330</v>
      </c>
    </row>
    <row r="78" spans="1:26" ht="30.75">
      <c r="A78" s="75"/>
      <c r="B78" s="76"/>
      <c r="C78" s="75"/>
      <c r="D78" s="77"/>
      <c r="E78" s="2" t="s">
        <v>500</v>
      </c>
      <c r="F78" s="14">
        <v>3132</v>
      </c>
      <c r="G78" s="1"/>
      <c r="H78" s="23"/>
      <c r="I78" s="6">
        <v>4120</v>
      </c>
      <c r="J78" s="28"/>
      <c r="K78" s="6"/>
      <c r="L78" s="6"/>
      <c r="M78" s="6"/>
      <c r="N78" s="6"/>
      <c r="O78" s="6"/>
      <c r="P78" s="6"/>
      <c r="Q78" s="6"/>
      <c r="R78" s="6"/>
      <c r="S78" s="6"/>
      <c r="T78" s="6"/>
      <c r="U78" s="6"/>
      <c r="V78" s="6">
        <v>4120</v>
      </c>
      <c r="W78" s="6">
        <f t="shared" si="6"/>
        <v>0</v>
      </c>
      <c r="X78" s="6"/>
      <c r="Y78" s="6">
        <f t="shared" si="8"/>
        <v>0</v>
      </c>
      <c r="Z78" s="6">
        <f t="shared" si="14"/>
        <v>4120</v>
      </c>
    </row>
    <row r="79" spans="1:26" ht="15">
      <c r="A79" s="75"/>
      <c r="B79" s="76"/>
      <c r="C79" s="75"/>
      <c r="D79" s="77"/>
      <c r="E79" s="2" t="s">
        <v>501</v>
      </c>
      <c r="F79" s="14">
        <v>3132</v>
      </c>
      <c r="G79" s="1"/>
      <c r="H79" s="23"/>
      <c r="I79" s="6">
        <v>400</v>
      </c>
      <c r="J79" s="28"/>
      <c r="K79" s="6"/>
      <c r="L79" s="6"/>
      <c r="M79" s="6"/>
      <c r="N79" s="6"/>
      <c r="O79" s="6"/>
      <c r="P79" s="6"/>
      <c r="Q79" s="6"/>
      <c r="R79" s="6"/>
      <c r="S79" s="6"/>
      <c r="T79" s="6"/>
      <c r="U79" s="6"/>
      <c r="V79" s="6">
        <v>400</v>
      </c>
      <c r="W79" s="6">
        <f t="shared" si="6"/>
        <v>0</v>
      </c>
      <c r="X79" s="6"/>
      <c r="Y79" s="6">
        <f t="shared" si="8"/>
        <v>0</v>
      </c>
      <c r="Z79" s="6">
        <f t="shared" si="14"/>
        <v>400</v>
      </c>
    </row>
    <row r="80" spans="1:26" ht="15">
      <c r="A80" s="75"/>
      <c r="B80" s="76"/>
      <c r="C80" s="75"/>
      <c r="D80" s="77"/>
      <c r="E80" s="2" t="s">
        <v>373</v>
      </c>
      <c r="F80" s="14">
        <v>3132</v>
      </c>
      <c r="G80" s="1"/>
      <c r="H80" s="23"/>
      <c r="I80" s="6">
        <v>5340</v>
      </c>
      <c r="J80" s="28"/>
      <c r="K80" s="6"/>
      <c r="L80" s="6"/>
      <c r="M80" s="6"/>
      <c r="N80" s="6"/>
      <c r="O80" s="6"/>
      <c r="P80" s="6"/>
      <c r="Q80" s="6"/>
      <c r="R80" s="6"/>
      <c r="S80" s="6"/>
      <c r="T80" s="6"/>
      <c r="U80" s="6"/>
      <c r="V80" s="6">
        <v>5340</v>
      </c>
      <c r="W80" s="6">
        <f t="shared" si="6"/>
        <v>0</v>
      </c>
      <c r="X80" s="6"/>
      <c r="Y80" s="6">
        <f t="shared" si="8"/>
        <v>0</v>
      </c>
      <c r="Z80" s="6">
        <f t="shared" si="14"/>
        <v>5340</v>
      </c>
    </row>
    <row r="81" spans="1:26" ht="15">
      <c r="A81" s="75"/>
      <c r="B81" s="76"/>
      <c r="C81" s="75"/>
      <c r="D81" s="77"/>
      <c r="E81" s="2" t="s">
        <v>502</v>
      </c>
      <c r="F81" s="14">
        <v>3132</v>
      </c>
      <c r="G81" s="1"/>
      <c r="H81" s="23"/>
      <c r="I81" s="6">
        <f>600000+500000-1096760</f>
        <v>3240</v>
      </c>
      <c r="J81" s="28"/>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15">
      <c r="A82" s="75"/>
      <c r="B82" s="76"/>
      <c r="C82" s="75"/>
      <c r="D82" s="77"/>
      <c r="E82" s="2" t="s">
        <v>503</v>
      </c>
      <c r="F82" s="14">
        <v>3132</v>
      </c>
      <c r="G82" s="1"/>
      <c r="H82" s="23"/>
      <c r="I82" s="6">
        <v>250000</v>
      </c>
      <c r="J82" s="28"/>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15">
      <c r="A83" s="75"/>
      <c r="B83" s="76"/>
      <c r="C83" s="75"/>
      <c r="D83" s="77"/>
      <c r="E83" s="2" t="s">
        <v>504</v>
      </c>
      <c r="F83" s="14">
        <v>3132</v>
      </c>
      <c r="G83" s="1"/>
      <c r="H83" s="23"/>
      <c r="I83" s="6">
        <f>1500000+900000-190000</f>
        <v>2210000</v>
      </c>
      <c r="J83" s="28"/>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5"/>
      <c r="B84" s="76"/>
      <c r="C84" s="75"/>
      <c r="D84" s="77"/>
      <c r="E84" s="2" t="s">
        <v>505</v>
      </c>
      <c r="F84" s="14">
        <v>3132</v>
      </c>
      <c r="G84" s="1"/>
      <c r="H84" s="23"/>
      <c r="I84" s="6"/>
      <c r="J84" s="28"/>
      <c r="K84" s="6"/>
      <c r="L84" s="6"/>
      <c r="M84" s="6"/>
      <c r="N84" s="6"/>
      <c r="O84" s="6"/>
      <c r="P84" s="6"/>
      <c r="Q84" s="6"/>
      <c r="R84" s="6"/>
      <c r="S84" s="6"/>
      <c r="T84" s="6"/>
      <c r="U84" s="6"/>
      <c r="V84" s="6"/>
      <c r="W84" s="6">
        <f t="shared" si="6"/>
        <v>0</v>
      </c>
      <c r="X84" s="6"/>
      <c r="Y84" s="6">
        <f t="shared" si="8"/>
        <v>0</v>
      </c>
      <c r="Z84" s="6">
        <f t="shared" si="14"/>
        <v>0</v>
      </c>
    </row>
    <row r="85" spans="1:26" ht="15">
      <c r="A85" s="75"/>
      <c r="B85" s="76"/>
      <c r="C85" s="75"/>
      <c r="D85" s="77"/>
      <c r="E85" s="2" t="s">
        <v>374</v>
      </c>
      <c r="F85" s="14">
        <v>3132</v>
      </c>
      <c r="G85" s="1"/>
      <c r="H85" s="23"/>
      <c r="I85" s="6">
        <v>9510</v>
      </c>
      <c r="J85" s="28"/>
      <c r="K85" s="6"/>
      <c r="L85" s="6"/>
      <c r="M85" s="6"/>
      <c r="N85" s="6"/>
      <c r="O85" s="6"/>
      <c r="P85" s="6"/>
      <c r="Q85" s="6"/>
      <c r="R85" s="6"/>
      <c r="S85" s="6"/>
      <c r="T85" s="6"/>
      <c r="U85" s="6"/>
      <c r="V85" s="6">
        <v>9510</v>
      </c>
      <c r="W85" s="6">
        <f t="shared" si="6"/>
        <v>0</v>
      </c>
      <c r="X85" s="6"/>
      <c r="Y85" s="6">
        <f t="shared" si="8"/>
        <v>0</v>
      </c>
      <c r="Z85" s="6">
        <f t="shared" si="14"/>
        <v>9510</v>
      </c>
    </row>
    <row r="86" spans="1:26" ht="15">
      <c r="A86" s="75"/>
      <c r="B86" s="76"/>
      <c r="C86" s="75"/>
      <c r="D86" s="77"/>
      <c r="E86" s="2" t="s">
        <v>506</v>
      </c>
      <c r="F86" s="14">
        <v>3132</v>
      </c>
      <c r="G86" s="1"/>
      <c r="H86" s="23"/>
      <c r="I86" s="6">
        <f>800000+635000</f>
        <v>1435000</v>
      </c>
      <c r="J86" s="28"/>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15">
      <c r="A87" s="75"/>
      <c r="B87" s="76"/>
      <c r="C87" s="75"/>
      <c r="D87" s="77"/>
      <c r="E87" s="2" t="s">
        <v>507</v>
      </c>
      <c r="F87" s="14">
        <v>3132</v>
      </c>
      <c r="G87" s="1"/>
      <c r="H87" s="23"/>
      <c r="I87" s="6">
        <f>300000+270000</f>
        <v>570000</v>
      </c>
      <c r="J87" s="28"/>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15">
      <c r="A88" s="75"/>
      <c r="B88" s="76"/>
      <c r="C88" s="75"/>
      <c r="D88" s="77"/>
      <c r="E88" s="2" t="s">
        <v>375</v>
      </c>
      <c r="F88" s="14">
        <v>3132</v>
      </c>
      <c r="G88" s="1"/>
      <c r="H88" s="23"/>
      <c r="I88" s="6">
        <v>104400</v>
      </c>
      <c r="J88" s="28"/>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15">
      <c r="A89" s="75"/>
      <c r="B89" s="76"/>
      <c r="C89" s="75"/>
      <c r="D89" s="77"/>
      <c r="E89" s="2" t="s">
        <v>817</v>
      </c>
      <c r="F89" s="14">
        <v>3132</v>
      </c>
      <c r="G89" s="1"/>
      <c r="H89" s="23"/>
      <c r="I89" s="6">
        <f>700000-100000</f>
        <v>600000</v>
      </c>
      <c r="J89" s="28"/>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5"/>
      <c r="B90" s="76"/>
      <c r="C90" s="75"/>
      <c r="D90" s="77"/>
      <c r="E90" s="2" t="s">
        <v>867</v>
      </c>
      <c r="F90" s="14">
        <v>3132</v>
      </c>
      <c r="G90" s="1"/>
      <c r="H90" s="23"/>
      <c r="I90" s="6">
        <f>100000</f>
        <v>100000</v>
      </c>
      <c r="J90" s="28"/>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5"/>
      <c r="B91" s="76"/>
      <c r="C91" s="75"/>
      <c r="D91" s="77"/>
      <c r="E91" s="2" t="s">
        <v>508</v>
      </c>
      <c r="F91" s="14">
        <v>3132</v>
      </c>
      <c r="G91" s="1"/>
      <c r="H91" s="23"/>
      <c r="I91" s="6">
        <v>2700000</v>
      </c>
      <c r="J91" s="28"/>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15">
      <c r="A92" s="78"/>
      <c r="B92" s="79"/>
      <c r="C92" s="78"/>
      <c r="D92" s="80"/>
      <c r="E92" s="2" t="s">
        <v>766</v>
      </c>
      <c r="F92" s="14">
        <v>3132</v>
      </c>
      <c r="G92" s="1"/>
      <c r="H92" s="23"/>
      <c r="I92" s="6">
        <v>500000</v>
      </c>
      <c r="J92" s="28"/>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8"/>
      <c r="B93" s="79"/>
      <c r="C93" s="78"/>
      <c r="D93" s="80"/>
      <c r="E93" s="2" t="s">
        <v>764</v>
      </c>
      <c r="F93" s="14">
        <v>3132</v>
      </c>
      <c r="G93" s="1"/>
      <c r="H93" s="23"/>
      <c r="I93" s="6">
        <v>200000</v>
      </c>
      <c r="J93" s="28"/>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8"/>
      <c r="B94" s="79"/>
      <c r="C94" s="78"/>
      <c r="D94" s="80"/>
      <c r="E94" s="2" t="s">
        <v>866</v>
      </c>
      <c r="F94" s="14">
        <v>3132</v>
      </c>
      <c r="G94" s="1"/>
      <c r="H94" s="23"/>
      <c r="I94" s="6">
        <f>580000</f>
        <v>580000</v>
      </c>
      <c r="J94" s="28"/>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15">
      <c r="A95" s="78"/>
      <c r="B95" s="79"/>
      <c r="C95" s="78"/>
      <c r="D95" s="80"/>
      <c r="E95" s="2" t="s">
        <v>667</v>
      </c>
      <c r="F95" s="14">
        <v>3132</v>
      </c>
      <c r="G95" s="1"/>
      <c r="H95" s="23"/>
      <c r="I95" s="6">
        <f>400000+233364.85</f>
        <v>633364.85</v>
      </c>
      <c r="J95" s="28"/>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15">
      <c r="A96" s="72" t="s">
        <v>122</v>
      </c>
      <c r="B96" s="81">
        <v>1020</v>
      </c>
      <c r="C96" s="72" t="s">
        <v>123</v>
      </c>
      <c r="D96" s="74"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4478636.24</v>
      </c>
      <c r="T96" s="12">
        <f t="shared" si="17"/>
        <v>4410348</v>
      </c>
      <c r="U96" s="12">
        <f t="shared" si="17"/>
        <v>10294205</v>
      </c>
      <c r="V96" s="12">
        <f t="shared" si="17"/>
        <v>2184130</v>
      </c>
      <c r="W96" s="6">
        <f t="shared" si="16"/>
        <v>0</v>
      </c>
      <c r="X96" s="12">
        <f>SUM(X97:X179)</f>
        <v>15308570.8</v>
      </c>
      <c r="Y96" s="6">
        <f t="shared" si="15"/>
        <v>12393123.510000002</v>
      </c>
      <c r="Z96" s="6">
        <f t="shared" si="14"/>
        <v>29281806.51</v>
      </c>
    </row>
    <row r="97" spans="1:26" ht="46.5">
      <c r="A97" s="75"/>
      <c r="B97" s="82"/>
      <c r="C97" s="75"/>
      <c r="D97" s="77"/>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63545+120000+153000+152999.7</f>
        <v>489544.7</v>
      </c>
      <c r="Y97" s="6">
        <f t="shared" si="15"/>
        <v>122455.29999999999</v>
      </c>
      <c r="Z97" s="6">
        <f>I97-X97</f>
        <v>122455.29999999999</v>
      </c>
    </row>
    <row r="98" spans="1:26" ht="46.5">
      <c r="A98" s="75"/>
      <c r="B98" s="82"/>
      <c r="C98" s="75"/>
      <c r="D98" s="77"/>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5"/>
      <c r="B99" s="82"/>
      <c r="C99" s="75"/>
      <c r="D99" s="77"/>
      <c r="E99" s="2" t="s">
        <v>879</v>
      </c>
      <c r="F99" s="14">
        <v>3110</v>
      </c>
      <c r="G99" s="1"/>
      <c r="H99" s="23"/>
      <c r="I99" s="6">
        <f>2097300+898843</f>
        <v>2996143</v>
      </c>
      <c r="J99" s="28"/>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5"/>
      <c r="B100" s="82"/>
      <c r="C100" s="75"/>
      <c r="D100" s="77"/>
      <c r="E100" s="2" t="s">
        <v>512</v>
      </c>
      <c r="F100" s="14">
        <v>3110</v>
      </c>
      <c r="G100" s="1"/>
      <c r="H100" s="23"/>
      <c r="I100" s="6">
        <v>150000</v>
      </c>
      <c r="J100" s="28"/>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15">
      <c r="A101" s="75"/>
      <c r="B101" s="82"/>
      <c r="C101" s="75"/>
      <c r="D101" s="77"/>
      <c r="E101" s="2" t="s">
        <v>862</v>
      </c>
      <c r="F101" s="14">
        <v>3110</v>
      </c>
      <c r="G101" s="1"/>
      <c r="H101" s="23"/>
      <c r="I101" s="6">
        <v>50000</v>
      </c>
      <c r="J101" s="28"/>
      <c r="K101" s="6"/>
      <c r="L101" s="6"/>
      <c r="M101" s="6"/>
      <c r="N101" s="6"/>
      <c r="O101" s="6"/>
      <c r="P101" s="6"/>
      <c r="Q101" s="6"/>
      <c r="R101" s="6"/>
      <c r="S101" s="6">
        <v>50000</v>
      </c>
      <c r="T101" s="6"/>
      <c r="U101" s="6">
        <f>50000-50000</f>
        <v>0</v>
      </c>
      <c r="V101" s="6"/>
      <c r="W101" s="6">
        <f t="shared" si="6"/>
        <v>0</v>
      </c>
      <c r="X101" s="6"/>
      <c r="Y101" s="6">
        <f>K101+L101+M101+N101+O101+P101+Q101+R101+S101-X101</f>
        <v>50000</v>
      </c>
      <c r="Z101" s="6">
        <f>I101-X101</f>
        <v>50000</v>
      </c>
    </row>
    <row r="102" spans="1:26" ht="30.75">
      <c r="A102" s="75"/>
      <c r="B102" s="82"/>
      <c r="C102" s="75"/>
      <c r="D102" s="77"/>
      <c r="E102" s="2" t="s">
        <v>729</v>
      </c>
      <c r="F102" s="14">
        <v>3110</v>
      </c>
      <c r="G102" s="1"/>
      <c r="H102" s="23"/>
      <c r="I102" s="6">
        <v>6888</v>
      </c>
      <c r="J102" s="28"/>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15">
      <c r="A103" s="75"/>
      <c r="B103" s="82"/>
      <c r="C103" s="75"/>
      <c r="D103" s="77"/>
      <c r="E103" s="2" t="s">
        <v>861</v>
      </c>
      <c r="F103" s="14">
        <v>3110</v>
      </c>
      <c r="G103" s="1"/>
      <c r="H103" s="23"/>
      <c r="I103" s="6">
        <v>450000</v>
      </c>
      <c r="J103" s="28"/>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5"/>
      <c r="B104" s="82"/>
      <c r="C104" s="75"/>
      <c r="D104" s="77"/>
      <c r="E104" s="2" t="s">
        <v>520</v>
      </c>
      <c r="F104" s="14">
        <v>3110</v>
      </c>
      <c r="G104" s="1"/>
      <c r="H104" s="23"/>
      <c r="I104" s="6">
        <v>150000</v>
      </c>
      <c r="J104" s="28"/>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5"/>
      <c r="B105" s="82"/>
      <c r="C105" s="75"/>
      <c r="D105" s="77"/>
      <c r="E105" s="2" t="s">
        <v>594</v>
      </c>
      <c r="F105" s="14">
        <v>3110</v>
      </c>
      <c r="G105" s="1"/>
      <c r="H105" s="23"/>
      <c r="I105" s="6">
        <v>150000</v>
      </c>
      <c r="J105" s="28"/>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15">
      <c r="A106" s="75"/>
      <c r="B106" s="82"/>
      <c r="C106" s="75"/>
      <c r="D106" s="77"/>
      <c r="E106" s="2" t="s">
        <v>526</v>
      </c>
      <c r="F106" s="14">
        <v>3110</v>
      </c>
      <c r="G106" s="1"/>
      <c r="H106" s="23"/>
      <c r="I106" s="6">
        <v>120000</v>
      </c>
      <c r="J106" s="28"/>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15">
      <c r="A107" s="75"/>
      <c r="B107" s="82"/>
      <c r="C107" s="75"/>
      <c r="D107" s="77"/>
      <c r="E107" s="2" t="s">
        <v>823</v>
      </c>
      <c r="F107" s="14">
        <v>3110</v>
      </c>
      <c r="G107" s="1"/>
      <c r="H107" s="23"/>
      <c r="I107" s="6">
        <f>100000+180000</f>
        <v>280000</v>
      </c>
      <c r="J107" s="28"/>
      <c r="K107" s="6"/>
      <c r="L107" s="6"/>
      <c r="M107" s="6"/>
      <c r="N107" s="6"/>
      <c r="O107" s="6"/>
      <c r="P107" s="6"/>
      <c r="Q107" s="6"/>
      <c r="R107" s="6"/>
      <c r="S107" s="6">
        <f>280000</f>
        <v>280000</v>
      </c>
      <c r="T107" s="6"/>
      <c r="U107" s="6">
        <f>100000+11000-111000</f>
        <v>0</v>
      </c>
      <c r="V107" s="6">
        <f>169000-169000</f>
        <v>0</v>
      </c>
      <c r="W107" s="6">
        <f>I107-K107-L107-M107-N107-O107-P107-Q107-R107-S107-T107-U107-V107</f>
        <v>0</v>
      </c>
      <c r="X107" s="6"/>
      <c r="Y107" s="6">
        <f t="shared" si="15"/>
        <v>280000</v>
      </c>
      <c r="Z107" s="6">
        <f t="shared" si="14"/>
        <v>280000</v>
      </c>
    </row>
    <row r="108" spans="1:26" ht="15">
      <c r="A108" s="75"/>
      <c r="B108" s="82"/>
      <c r="C108" s="75"/>
      <c r="D108" s="77"/>
      <c r="E108" s="2" t="s">
        <v>854</v>
      </c>
      <c r="F108" s="14">
        <v>3110</v>
      </c>
      <c r="G108" s="1"/>
      <c r="H108" s="23"/>
      <c r="I108" s="6">
        <f>50000</f>
        <v>50000</v>
      </c>
      <c r="J108" s="28"/>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15">
      <c r="A109" s="75"/>
      <c r="B109" s="82"/>
      <c r="C109" s="75"/>
      <c r="D109" s="77"/>
      <c r="E109" s="2" t="s">
        <v>855</v>
      </c>
      <c r="F109" s="14">
        <v>3110</v>
      </c>
      <c r="G109" s="1"/>
      <c r="H109" s="23"/>
      <c r="I109" s="6">
        <f>50000</f>
        <v>50000</v>
      </c>
      <c r="J109" s="28"/>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5"/>
      <c r="B110" s="82"/>
      <c r="C110" s="75"/>
      <c r="D110" s="77"/>
      <c r="E110" s="2" t="s">
        <v>377</v>
      </c>
      <c r="F110" s="14">
        <v>3110</v>
      </c>
      <c r="G110" s="1"/>
      <c r="H110" s="23"/>
      <c r="I110" s="6">
        <v>500000</v>
      </c>
      <c r="J110" s="28"/>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5"/>
      <c r="B111" s="82"/>
      <c r="C111" s="75"/>
      <c r="D111" s="77"/>
      <c r="E111" s="2" t="s">
        <v>697</v>
      </c>
      <c r="F111" s="14">
        <v>3110</v>
      </c>
      <c r="G111" s="1"/>
      <c r="H111" s="23"/>
      <c r="I111" s="6">
        <f>250000+250000</f>
        <v>500000</v>
      </c>
      <c r="J111" s="28"/>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15">
      <c r="A112" s="75"/>
      <c r="B112" s="82"/>
      <c r="C112" s="75"/>
      <c r="D112" s="77"/>
      <c r="E112" s="2" t="s">
        <v>818</v>
      </c>
      <c r="F112" s="14">
        <v>3110</v>
      </c>
      <c r="G112" s="1"/>
      <c r="H112" s="23"/>
      <c r="I112" s="6">
        <f>10000</f>
        <v>10000</v>
      </c>
      <c r="J112" s="28"/>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5"/>
      <c r="B113" s="82"/>
      <c r="C113" s="75"/>
      <c r="D113" s="77"/>
      <c r="E113" s="2" t="s">
        <v>534</v>
      </c>
      <c r="F113" s="14">
        <v>3110</v>
      </c>
      <c r="G113" s="1"/>
      <c r="H113" s="23"/>
      <c r="I113" s="6">
        <v>150000</v>
      </c>
      <c r="J113" s="28"/>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5"/>
      <c r="B114" s="82"/>
      <c r="C114" s="75"/>
      <c r="D114" s="77"/>
      <c r="E114" s="2" t="s">
        <v>698</v>
      </c>
      <c r="F114" s="14">
        <v>3110</v>
      </c>
      <c r="G114" s="1"/>
      <c r="H114" s="23"/>
      <c r="I114" s="6">
        <v>250000</v>
      </c>
      <c r="J114" s="28"/>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5"/>
      <c r="B115" s="82"/>
      <c r="C115" s="75"/>
      <c r="D115" s="77"/>
      <c r="E115" s="2" t="s">
        <v>380</v>
      </c>
      <c r="F115" s="14">
        <v>3110</v>
      </c>
      <c r="G115" s="1"/>
      <c r="H115" s="23"/>
      <c r="I115" s="6">
        <v>150000</v>
      </c>
      <c r="J115" s="28"/>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5"/>
      <c r="B116" s="82"/>
      <c r="C116" s="75"/>
      <c r="D116" s="77"/>
      <c r="E116" s="2" t="s">
        <v>381</v>
      </c>
      <c r="F116" s="14">
        <v>3110</v>
      </c>
      <c r="G116" s="1"/>
      <c r="H116" s="23"/>
      <c r="I116" s="6">
        <v>150000</v>
      </c>
      <c r="J116" s="28"/>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15">
      <c r="A117" s="75"/>
      <c r="B117" s="82"/>
      <c r="C117" s="75"/>
      <c r="D117" s="77"/>
      <c r="E117" s="2" t="s">
        <v>390</v>
      </c>
      <c r="F117" s="14">
        <v>3110</v>
      </c>
      <c r="G117" s="1"/>
      <c r="H117" s="23"/>
      <c r="I117" s="6">
        <v>500000</v>
      </c>
      <c r="J117" s="28"/>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5"/>
      <c r="B118" s="82"/>
      <c r="C118" s="75"/>
      <c r="D118" s="77"/>
      <c r="E118" s="2" t="s">
        <v>391</v>
      </c>
      <c r="F118" s="14">
        <v>3110</v>
      </c>
      <c r="G118" s="1"/>
      <c r="H118" s="23"/>
      <c r="I118" s="6">
        <f>880000-10000</f>
        <v>870000</v>
      </c>
      <c r="J118" s="28"/>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5"/>
      <c r="B119" s="82"/>
      <c r="C119" s="75"/>
      <c r="D119" s="77"/>
      <c r="E119" s="2" t="s">
        <v>392</v>
      </c>
      <c r="F119" s="14">
        <v>3110</v>
      </c>
      <c r="G119" s="1"/>
      <c r="H119" s="23"/>
      <c r="I119" s="6">
        <v>120000</v>
      </c>
      <c r="J119" s="28"/>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15" hidden="1">
      <c r="A120" s="75"/>
      <c r="B120" s="82"/>
      <c r="C120" s="75"/>
      <c r="D120" s="77"/>
      <c r="E120" s="2" t="s">
        <v>378</v>
      </c>
      <c r="F120" s="14">
        <v>3132</v>
      </c>
      <c r="G120" s="1"/>
      <c r="H120" s="23"/>
      <c r="I120" s="6">
        <f>700000-700000</f>
        <v>0</v>
      </c>
      <c r="J120" s="28"/>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15">
      <c r="A121" s="75"/>
      <c r="B121" s="82"/>
      <c r="C121" s="75"/>
      <c r="D121" s="77"/>
      <c r="E121" s="2" t="s">
        <v>853</v>
      </c>
      <c r="F121" s="14">
        <v>3110</v>
      </c>
      <c r="G121" s="1"/>
      <c r="H121" s="23"/>
      <c r="I121" s="6">
        <v>120000</v>
      </c>
      <c r="J121" s="28"/>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5"/>
      <c r="B122" s="82"/>
      <c r="C122" s="75"/>
      <c r="D122" s="77"/>
      <c r="E122" s="2" t="s">
        <v>732</v>
      </c>
      <c r="F122" s="14">
        <v>3110</v>
      </c>
      <c r="G122" s="1"/>
      <c r="H122" s="23"/>
      <c r="I122" s="1">
        <f>732725+314025</f>
        <v>1046750</v>
      </c>
      <c r="J122" s="28"/>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95159.07+63439.38+158598.55+94411.38+63439.38+95159.07+31248+31719.62+31719.69+31719.69+31719.69+63439.29+126874.97</f>
        <v>918647.7799999999</v>
      </c>
      <c r="Y122" s="6">
        <f t="shared" si="15"/>
        <v>128102.22000000009</v>
      </c>
      <c r="Z122" s="6">
        <f>I122-X122</f>
        <v>128102.22000000009</v>
      </c>
    </row>
    <row r="123" spans="1:26" ht="78">
      <c r="A123" s="75"/>
      <c r="B123" s="82"/>
      <c r="C123" s="75"/>
      <c r="D123" s="77"/>
      <c r="E123" s="2" t="s">
        <v>733</v>
      </c>
      <c r="F123" s="14">
        <v>3110</v>
      </c>
      <c r="G123" s="1"/>
      <c r="H123" s="23"/>
      <c r="I123" s="1">
        <v>250988</v>
      </c>
      <c r="J123" s="28"/>
      <c r="K123" s="6"/>
      <c r="L123" s="6"/>
      <c r="M123" s="6"/>
      <c r="N123" s="6">
        <v>28281</v>
      </c>
      <c r="O123" s="6">
        <v>51047</v>
      </c>
      <c r="P123" s="6"/>
      <c r="Q123" s="6">
        <v>46843</v>
      </c>
      <c r="R123" s="6">
        <v>124817</v>
      </c>
      <c r="S123" s="6"/>
      <c r="T123" s="6"/>
      <c r="U123" s="6"/>
      <c r="V123" s="6"/>
      <c r="W123" s="6">
        <f>I123-K123-L123-M123-N123-O123-P123-Q123-R123-S123-T123-U123-V123</f>
        <v>0</v>
      </c>
      <c r="X123" s="6">
        <f>31320.5</f>
        <v>31320.5</v>
      </c>
      <c r="Y123" s="6">
        <f t="shared" si="15"/>
        <v>219667.5</v>
      </c>
      <c r="Z123" s="6">
        <f>I123-X123</f>
        <v>219667.5</v>
      </c>
    </row>
    <row r="124" spans="1:26" ht="15">
      <c r="A124" s="75"/>
      <c r="B124" s="82"/>
      <c r="C124" s="75"/>
      <c r="D124" s="77"/>
      <c r="E124" s="2" t="s">
        <v>659</v>
      </c>
      <c r="F124" s="14">
        <v>3132</v>
      </c>
      <c r="G124" s="1"/>
      <c r="H124" s="23"/>
      <c r="I124" s="6">
        <v>60105.47</v>
      </c>
      <c r="J124" s="28"/>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15">
      <c r="A125" s="75"/>
      <c r="B125" s="82"/>
      <c r="C125" s="75"/>
      <c r="D125" s="77"/>
      <c r="E125" s="2" t="s">
        <v>700</v>
      </c>
      <c r="F125" s="14">
        <v>3132</v>
      </c>
      <c r="G125" s="1"/>
      <c r="H125" s="23"/>
      <c r="I125" s="6">
        <v>278000</v>
      </c>
      <c r="J125" s="28"/>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15">
      <c r="A126" s="75"/>
      <c r="B126" s="82"/>
      <c r="C126" s="75"/>
      <c r="D126" s="77"/>
      <c r="E126" s="2" t="s">
        <v>757</v>
      </c>
      <c r="F126" s="14">
        <v>3132</v>
      </c>
      <c r="G126" s="1"/>
      <c r="H126" s="23"/>
      <c r="I126" s="6">
        <v>1000000</v>
      </c>
      <c r="J126" s="28"/>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15">
      <c r="A127" s="75"/>
      <c r="B127" s="82"/>
      <c r="C127" s="75"/>
      <c r="D127" s="77"/>
      <c r="E127" s="2" t="s">
        <v>509</v>
      </c>
      <c r="F127" s="14">
        <v>3132</v>
      </c>
      <c r="G127" s="1"/>
      <c r="H127" s="23"/>
      <c r="I127" s="6">
        <f>900000+590000</f>
        <v>1490000</v>
      </c>
      <c r="J127" s="28"/>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15">
      <c r="A128" s="75"/>
      <c r="B128" s="82"/>
      <c r="C128" s="75"/>
      <c r="D128" s="77"/>
      <c r="E128" s="2" t="s">
        <v>756</v>
      </c>
      <c r="F128" s="14">
        <v>3132</v>
      </c>
      <c r="G128" s="1"/>
      <c r="H128" s="23"/>
      <c r="I128" s="6">
        <v>500000</v>
      </c>
      <c r="J128" s="28"/>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5"/>
      <c r="B129" s="82"/>
      <c r="C129" s="75"/>
      <c r="D129" s="77"/>
      <c r="E129" s="2" t="s">
        <v>510</v>
      </c>
      <c r="F129" s="14">
        <v>3132</v>
      </c>
      <c r="G129" s="1"/>
      <c r="H129" s="23"/>
      <c r="I129" s="6">
        <v>749000</v>
      </c>
      <c r="J129" s="28"/>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15">
      <c r="A130" s="75"/>
      <c r="B130" s="82"/>
      <c r="C130" s="75"/>
      <c r="D130" s="77"/>
      <c r="E130" s="2" t="s">
        <v>511</v>
      </c>
      <c r="F130" s="14">
        <v>3132</v>
      </c>
      <c r="G130" s="1"/>
      <c r="H130" s="23"/>
      <c r="I130" s="6">
        <f>800000+188916</f>
        <v>988916</v>
      </c>
      <c r="J130" s="28"/>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15">
      <c r="A131" s="75"/>
      <c r="B131" s="82"/>
      <c r="C131" s="75"/>
      <c r="D131" s="77"/>
      <c r="E131" s="2" t="s">
        <v>593</v>
      </c>
      <c r="F131" s="14">
        <v>3132</v>
      </c>
      <c r="G131" s="1"/>
      <c r="H131" s="23"/>
      <c r="I131" s="6">
        <v>1436890</v>
      </c>
      <c r="J131" s="28"/>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15" hidden="1">
      <c r="A132" s="75"/>
      <c r="B132" s="82"/>
      <c r="C132" s="75"/>
      <c r="D132" s="77"/>
      <c r="E132" s="2" t="s">
        <v>513</v>
      </c>
      <c r="F132" s="14">
        <v>3132</v>
      </c>
      <c r="G132" s="1"/>
      <c r="H132" s="23"/>
      <c r="I132" s="6">
        <f>1100000-1100000</f>
        <v>0</v>
      </c>
      <c r="J132" s="28"/>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5"/>
      <c r="B133" s="82"/>
      <c r="C133" s="75"/>
      <c r="D133" s="77"/>
      <c r="E133" s="2" t="s">
        <v>514</v>
      </c>
      <c r="F133" s="14">
        <v>3132</v>
      </c>
      <c r="G133" s="1"/>
      <c r="H133" s="23"/>
      <c r="I133" s="6">
        <v>1200000</v>
      </c>
      <c r="J133" s="28"/>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15" hidden="1">
      <c r="A134" s="75"/>
      <c r="B134" s="82"/>
      <c r="C134" s="75"/>
      <c r="D134" s="77"/>
      <c r="E134" s="2" t="s">
        <v>568</v>
      </c>
      <c r="F134" s="14">
        <v>3132</v>
      </c>
      <c r="G134" s="1"/>
      <c r="H134" s="23"/>
      <c r="I134" s="6">
        <f>600000-600000</f>
        <v>0</v>
      </c>
      <c r="J134" s="28"/>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15">
      <c r="A135" s="75"/>
      <c r="B135" s="82"/>
      <c r="C135" s="75"/>
      <c r="D135" s="77"/>
      <c r="E135" s="2" t="s">
        <v>383</v>
      </c>
      <c r="F135" s="14">
        <v>3132</v>
      </c>
      <c r="G135" s="1"/>
      <c r="H135" s="23"/>
      <c r="I135" s="6">
        <f>4920+300000-200000</f>
        <v>104920</v>
      </c>
      <c r="J135" s="28"/>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15" hidden="1">
      <c r="A136" s="75"/>
      <c r="B136" s="82"/>
      <c r="C136" s="75"/>
      <c r="D136" s="77"/>
      <c r="E136" s="2" t="s">
        <v>515</v>
      </c>
      <c r="F136" s="14">
        <v>3132</v>
      </c>
      <c r="G136" s="1"/>
      <c r="H136" s="23"/>
      <c r="I136" s="6">
        <f>500000-50000-450000</f>
        <v>0</v>
      </c>
      <c r="J136" s="28"/>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5"/>
      <c r="B137" s="82"/>
      <c r="C137" s="75"/>
      <c r="D137" s="77"/>
      <c r="E137" s="2" t="s">
        <v>819</v>
      </c>
      <c r="F137" s="14">
        <v>3132</v>
      </c>
      <c r="G137" s="1"/>
      <c r="H137" s="23"/>
      <c r="I137" s="6">
        <v>120000</v>
      </c>
      <c r="J137" s="28"/>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5"/>
      <c r="B138" s="82"/>
      <c r="C138" s="75"/>
      <c r="D138" s="77"/>
      <c r="E138" s="2" t="s">
        <v>820</v>
      </c>
      <c r="F138" s="14">
        <v>3132</v>
      </c>
      <c r="G138" s="1"/>
      <c r="H138" s="23"/>
      <c r="I138" s="6">
        <v>80000</v>
      </c>
      <c r="J138" s="28"/>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15">
      <c r="A139" s="75"/>
      <c r="B139" s="82"/>
      <c r="C139" s="75"/>
      <c r="D139" s="77"/>
      <c r="E139" s="2" t="s">
        <v>384</v>
      </c>
      <c r="F139" s="14">
        <v>3132</v>
      </c>
      <c r="G139" s="1"/>
      <c r="H139" s="23"/>
      <c r="I139" s="6">
        <v>1230</v>
      </c>
      <c r="J139" s="28"/>
      <c r="K139" s="6"/>
      <c r="L139" s="6"/>
      <c r="M139" s="6"/>
      <c r="N139" s="6"/>
      <c r="O139" s="6"/>
      <c r="P139" s="6"/>
      <c r="Q139" s="6"/>
      <c r="R139" s="6"/>
      <c r="S139" s="6"/>
      <c r="T139" s="6"/>
      <c r="U139" s="6"/>
      <c r="V139" s="6">
        <v>1230</v>
      </c>
      <c r="W139" s="6">
        <f t="shared" si="18"/>
        <v>0</v>
      </c>
      <c r="X139" s="6"/>
      <c r="Y139" s="6">
        <f t="shared" si="15"/>
        <v>0</v>
      </c>
      <c r="Z139" s="6">
        <f t="shared" si="19"/>
        <v>1230</v>
      </c>
    </row>
    <row r="140" spans="1:26" ht="15">
      <c r="A140" s="75"/>
      <c r="B140" s="82"/>
      <c r="C140" s="75"/>
      <c r="D140" s="77"/>
      <c r="E140" s="2" t="s">
        <v>379</v>
      </c>
      <c r="F140" s="14">
        <v>3132</v>
      </c>
      <c r="G140" s="1"/>
      <c r="H140" s="23"/>
      <c r="I140" s="6">
        <f>600000-50000+30000</f>
        <v>580000</v>
      </c>
      <c r="J140" s="28"/>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15">
      <c r="A141" s="75"/>
      <c r="B141" s="82"/>
      <c r="C141" s="75"/>
      <c r="D141" s="77"/>
      <c r="E141" s="2" t="s">
        <v>516</v>
      </c>
      <c r="F141" s="14">
        <v>3132</v>
      </c>
      <c r="G141" s="1"/>
      <c r="H141" s="23"/>
      <c r="I141" s="6">
        <v>10000</v>
      </c>
      <c r="J141" s="28"/>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5"/>
      <c r="B142" s="82"/>
      <c r="C142" s="75"/>
      <c r="D142" s="77"/>
      <c r="E142" s="2" t="s">
        <v>382</v>
      </c>
      <c r="F142" s="14">
        <v>3132</v>
      </c>
      <c r="G142" s="1"/>
      <c r="H142" s="23"/>
      <c r="I142" s="6">
        <f>6000+200000</f>
        <v>206000</v>
      </c>
      <c r="J142" s="28"/>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15">
      <c r="A143" s="75"/>
      <c r="B143" s="82"/>
      <c r="C143" s="75"/>
      <c r="D143" s="77"/>
      <c r="E143" s="2" t="s">
        <v>517</v>
      </c>
      <c r="F143" s="14">
        <v>3132</v>
      </c>
      <c r="G143" s="1"/>
      <c r="H143" s="23"/>
      <c r="I143" s="6">
        <v>7850</v>
      </c>
      <c r="J143" s="28"/>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5"/>
      <c r="B144" s="82"/>
      <c r="C144" s="75"/>
      <c r="D144" s="77"/>
      <c r="E144" s="2" t="s">
        <v>518</v>
      </c>
      <c r="F144" s="14">
        <v>3132</v>
      </c>
      <c r="G144" s="1"/>
      <c r="H144" s="23"/>
      <c r="I144" s="6">
        <f>350000+100000</f>
        <v>450000</v>
      </c>
      <c r="J144" s="28"/>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15">
      <c r="A145" s="75"/>
      <c r="B145" s="82"/>
      <c r="C145" s="75"/>
      <c r="D145" s="77"/>
      <c r="E145" s="2" t="s">
        <v>519</v>
      </c>
      <c r="F145" s="14">
        <v>3132</v>
      </c>
      <c r="G145" s="1"/>
      <c r="H145" s="23"/>
      <c r="I145" s="6">
        <v>200000</v>
      </c>
      <c r="J145" s="28"/>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5"/>
      <c r="B146" s="82"/>
      <c r="C146" s="75"/>
      <c r="D146" s="77"/>
      <c r="E146" s="2" t="s">
        <v>521</v>
      </c>
      <c r="F146" s="14">
        <v>3132</v>
      </c>
      <c r="G146" s="1"/>
      <c r="H146" s="23"/>
      <c r="I146" s="6">
        <f>1500000-1400000</f>
        <v>100000</v>
      </c>
      <c r="J146" s="28"/>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15" hidden="1">
      <c r="A147" s="75"/>
      <c r="B147" s="82"/>
      <c r="C147" s="75"/>
      <c r="D147" s="77"/>
      <c r="E147" s="2" t="s">
        <v>522</v>
      </c>
      <c r="F147" s="14">
        <v>3132</v>
      </c>
      <c r="G147" s="1"/>
      <c r="H147" s="23"/>
      <c r="I147" s="6">
        <f>1390000-1390000</f>
        <v>0</v>
      </c>
      <c r="J147" s="28"/>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15">
      <c r="A148" s="75"/>
      <c r="B148" s="82"/>
      <c r="C148" s="75"/>
      <c r="D148" s="77"/>
      <c r="E148" s="2" t="s">
        <v>523</v>
      </c>
      <c r="F148" s="14">
        <v>3132</v>
      </c>
      <c r="G148" s="1"/>
      <c r="H148" s="23"/>
      <c r="I148" s="6">
        <f>1000000-500000+530000</f>
        <v>1030000</v>
      </c>
      <c r="J148" s="28"/>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15">
      <c r="A149" s="75"/>
      <c r="B149" s="82"/>
      <c r="C149" s="75"/>
      <c r="D149" s="77"/>
      <c r="E149" s="2" t="s">
        <v>524</v>
      </c>
      <c r="F149" s="14">
        <v>3132</v>
      </c>
      <c r="G149" s="1"/>
      <c r="H149" s="23"/>
      <c r="I149" s="6">
        <v>200000</v>
      </c>
      <c r="J149" s="28"/>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5"/>
      <c r="B150" s="82"/>
      <c r="C150" s="75"/>
      <c r="D150" s="77"/>
      <c r="E150" s="2" t="s">
        <v>525</v>
      </c>
      <c r="F150" s="14">
        <v>3132</v>
      </c>
      <c r="G150" s="1"/>
      <c r="H150" s="23"/>
      <c r="I150" s="6">
        <v>2900000</v>
      </c>
      <c r="J150" s="28"/>
      <c r="K150" s="6"/>
      <c r="L150" s="6"/>
      <c r="M150" s="6"/>
      <c r="N150" s="6">
        <f>50000-50000</f>
        <v>0</v>
      </c>
      <c r="O150" s="6"/>
      <c r="P150" s="6"/>
      <c r="Q150" s="6"/>
      <c r="R150" s="6">
        <f>1425000-1041920</f>
        <v>383080</v>
      </c>
      <c r="S150" s="6">
        <f>60000-296000</f>
        <v>-236000</v>
      </c>
      <c r="T150" s="6">
        <f>425000+444000-736085</f>
        <v>132915</v>
      </c>
      <c r="U150" s="6">
        <f>500000+50000+478000+296000+541085</f>
        <v>1865085</v>
      </c>
      <c r="V150" s="6">
        <f>500000+59920+195000</f>
        <v>754920</v>
      </c>
      <c r="W150" s="6">
        <f t="shared" si="18"/>
        <v>0</v>
      </c>
      <c r="X150" s="6">
        <f>146927</f>
        <v>146927</v>
      </c>
      <c r="Y150" s="6">
        <f t="shared" si="15"/>
        <v>153</v>
      </c>
      <c r="Z150" s="6">
        <f t="shared" si="19"/>
        <v>2753073</v>
      </c>
    </row>
    <row r="151" spans="1:26" ht="15" hidden="1">
      <c r="A151" s="75"/>
      <c r="B151" s="82"/>
      <c r="C151" s="75"/>
      <c r="D151" s="77"/>
      <c r="E151" s="2" t="s">
        <v>527</v>
      </c>
      <c r="F151" s="14">
        <v>3132</v>
      </c>
      <c r="G151" s="1"/>
      <c r="H151" s="23"/>
      <c r="I151" s="6">
        <f>1490000-1490000</f>
        <v>0</v>
      </c>
      <c r="J151" s="28"/>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15">
      <c r="A152" s="75"/>
      <c r="B152" s="82"/>
      <c r="C152" s="75"/>
      <c r="D152" s="77"/>
      <c r="E152" s="2" t="s">
        <v>34</v>
      </c>
      <c r="F152" s="14">
        <v>3132</v>
      </c>
      <c r="G152" s="1"/>
      <c r="H152" s="23"/>
      <c r="I152" s="6">
        <v>500000</v>
      </c>
      <c r="J152" s="28"/>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15">
      <c r="A153" s="75"/>
      <c r="B153" s="82"/>
      <c r="C153" s="75"/>
      <c r="D153" s="77"/>
      <c r="E153" s="2" t="s">
        <v>528</v>
      </c>
      <c r="F153" s="14">
        <v>3132</v>
      </c>
      <c r="G153" s="1"/>
      <c r="H153" s="23"/>
      <c r="I153" s="6">
        <v>1000000</v>
      </c>
      <c r="J153" s="28"/>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15">
      <c r="A154" s="75"/>
      <c r="B154" s="82"/>
      <c r="C154" s="75"/>
      <c r="D154" s="77"/>
      <c r="E154" s="2" t="s">
        <v>385</v>
      </c>
      <c r="F154" s="14">
        <v>3132</v>
      </c>
      <c r="G154" s="1"/>
      <c r="H154" s="23"/>
      <c r="I154" s="6">
        <v>30000</v>
      </c>
      <c r="J154" s="28"/>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15">
      <c r="A155" s="75"/>
      <c r="B155" s="82"/>
      <c r="C155" s="75"/>
      <c r="D155" s="77"/>
      <c r="E155" s="2" t="s">
        <v>386</v>
      </c>
      <c r="F155" s="14">
        <v>3132</v>
      </c>
      <c r="G155" s="1"/>
      <c r="H155" s="23"/>
      <c r="I155" s="6">
        <v>9000</v>
      </c>
      <c r="J155" s="28"/>
      <c r="K155" s="6"/>
      <c r="L155" s="6"/>
      <c r="M155" s="6"/>
      <c r="N155" s="6"/>
      <c r="O155" s="6"/>
      <c r="P155" s="6"/>
      <c r="Q155" s="6"/>
      <c r="R155" s="6"/>
      <c r="S155" s="6"/>
      <c r="T155" s="6"/>
      <c r="U155" s="6"/>
      <c r="V155" s="6">
        <v>9000</v>
      </c>
      <c r="W155" s="6">
        <f t="shared" si="18"/>
        <v>0</v>
      </c>
      <c r="X155" s="6"/>
      <c r="Y155" s="6">
        <f t="shared" si="15"/>
        <v>0</v>
      </c>
      <c r="Z155" s="6">
        <f t="shared" si="19"/>
        <v>9000</v>
      </c>
    </row>
    <row r="156" spans="1:26" ht="15">
      <c r="A156" s="75"/>
      <c r="B156" s="82"/>
      <c r="C156" s="75"/>
      <c r="D156" s="77"/>
      <c r="E156" s="2" t="s">
        <v>858</v>
      </c>
      <c r="F156" s="14">
        <v>3132</v>
      </c>
      <c r="G156" s="1"/>
      <c r="H156" s="23"/>
      <c r="I156" s="6">
        <f>1490000</f>
        <v>1490000</v>
      </c>
      <c r="J156" s="28"/>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15">
      <c r="A157" s="75"/>
      <c r="B157" s="82"/>
      <c r="C157" s="75"/>
      <c r="D157" s="77"/>
      <c r="E157" s="2" t="s">
        <v>859</v>
      </c>
      <c r="F157" s="14">
        <v>3132</v>
      </c>
      <c r="G157" s="1"/>
      <c r="H157" s="23"/>
      <c r="I157" s="6">
        <f>1300000</f>
        <v>1300000</v>
      </c>
      <c r="J157" s="28"/>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5"/>
      <c r="B158" s="82"/>
      <c r="C158" s="75"/>
      <c r="D158" s="77"/>
      <c r="E158" s="2" t="s">
        <v>884</v>
      </c>
      <c r="F158" s="14">
        <v>3132</v>
      </c>
      <c r="G158" s="1"/>
      <c r="H158" s="23"/>
      <c r="I158" s="6">
        <f>200000</f>
        <v>200000</v>
      </c>
      <c r="J158" s="28"/>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15">
      <c r="A159" s="75"/>
      <c r="B159" s="82"/>
      <c r="C159" s="75"/>
      <c r="D159" s="77"/>
      <c r="E159" s="2" t="s">
        <v>529</v>
      </c>
      <c r="F159" s="14">
        <v>3132</v>
      </c>
      <c r="G159" s="1"/>
      <c r="H159" s="23"/>
      <c r="I159" s="6">
        <f>1100000+33092</f>
        <v>1133092</v>
      </c>
      <c r="J159" s="28"/>
      <c r="K159" s="6"/>
      <c r="L159" s="6"/>
      <c r="M159" s="6"/>
      <c r="N159" s="6">
        <v>50000</v>
      </c>
      <c r="O159" s="6">
        <f>-50000</f>
        <v>-50000</v>
      </c>
      <c r="P159" s="6">
        <f>600000</f>
        <v>600000</v>
      </c>
      <c r="Q159" s="6"/>
      <c r="R159" s="6">
        <f>33092-86000</f>
        <v>-52908</v>
      </c>
      <c r="S159" s="6">
        <f>525000-525000+586000</f>
        <v>586000</v>
      </c>
      <c r="T159" s="6"/>
      <c r="U159" s="6">
        <f>325000-25000+86000-386000</f>
        <v>0</v>
      </c>
      <c r="V159" s="6">
        <f>200000-200000</f>
        <v>0</v>
      </c>
      <c r="W159" s="6">
        <f t="shared" si="18"/>
        <v>0</v>
      </c>
      <c r="X159" s="6">
        <f>546422</f>
        <v>546422</v>
      </c>
      <c r="Y159" s="6">
        <f t="shared" si="15"/>
        <v>586670</v>
      </c>
      <c r="Z159" s="6">
        <f t="shared" si="19"/>
        <v>586670</v>
      </c>
    </row>
    <row r="160" spans="1:26" ht="46.5">
      <c r="A160" s="75"/>
      <c r="B160" s="82"/>
      <c r="C160" s="75"/>
      <c r="D160" s="77"/>
      <c r="E160" s="2" t="s">
        <v>387</v>
      </c>
      <c r="F160" s="14">
        <v>3132</v>
      </c>
      <c r="G160" s="1"/>
      <c r="H160" s="23"/>
      <c r="I160" s="6">
        <f>1270000+143484</f>
        <v>1413484</v>
      </c>
      <c r="J160" s="28"/>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5"/>
      <c r="B161" s="82"/>
      <c r="C161" s="75"/>
      <c r="D161" s="77"/>
      <c r="E161" s="2" t="s">
        <v>249</v>
      </c>
      <c r="F161" s="14">
        <v>3132</v>
      </c>
      <c r="G161" s="1"/>
      <c r="H161" s="23"/>
      <c r="I161" s="6">
        <v>749000</v>
      </c>
      <c r="J161" s="28"/>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15">
      <c r="A162" s="75"/>
      <c r="B162" s="82"/>
      <c r="C162" s="75"/>
      <c r="D162" s="77"/>
      <c r="E162" s="2" t="s">
        <v>663</v>
      </c>
      <c r="F162" s="14">
        <v>3132</v>
      </c>
      <c r="G162" s="1"/>
      <c r="H162" s="23"/>
      <c r="I162" s="6">
        <f>700000</f>
        <v>700000</v>
      </c>
      <c r="J162" s="28"/>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5"/>
      <c r="B163" s="82"/>
      <c r="C163" s="75"/>
      <c r="D163" s="77"/>
      <c r="E163" s="2" t="s">
        <v>530</v>
      </c>
      <c r="F163" s="14">
        <v>3132</v>
      </c>
      <c r="G163" s="1"/>
      <c r="H163" s="23"/>
      <c r="I163" s="6">
        <f>178920-100000</f>
        <v>78920</v>
      </c>
      <c r="J163" s="28"/>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15">
      <c r="A164" s="75"/>
      <c r="B164" s="82"/>
      <c r="C164" s="75"/>
      <c r="D164" s="77"/>
      <c r="E164" s="2" t="s">
        <v>531</v>
      </c>
      <c r="F164" s="14">
        <v>3132</v>
      </c>
      <c r="G164" s="1"/>
      <c r="H164" s="23"/>
      <c r="I164" s="6">
        <v>300000</v>
      </c>
      <c r="J164" s="28"/>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5"/>
      <c r="B165" s="82"/>
      <c r="C165" s="75"/>
      <c r="D165" s="77"/>
      <c r="E165" s="2" t="s">
        <v>388</v>
      </c>
      <c r="F165" s="14">
        <v>3132</v>
      </c>
      <c r="G165" s="1"/>
      <c r="H165" s="23"/>
      <c r="I165" s="6">
        <v>749000</v>
      </c>
      <c r="J165" s="28"/>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5"/>
      <c r="B166" s="82"/>
      <c r="C166" s="75"/>
      <c r="D166" s="77"/>
      <c r="E166" s="2" t="s">
        <v>652</v>
      </c>
      <c r="F166" s="14">
        <v>3132</v>
      </c>
      <c r="G166" s="1"/>
      <c r="H166" s="23"/>
      <c r="I166" s="6">
        <v>2000000</v>
      </c>
      <c r="J166" s="28"/>
      <c r="K166" s="6"/>
      <c r="L166" s="6"/>
      <c r="M166" s="6"/>
      <c r="N166" s="6">
        <v>1100000</v>
      </c>
      <c r="O166" s="6">
        <v>900000</v>
      </c>
      <c r="P166" s="6">
        <f>-1923000</f>
        <v>-1923000</v>
      </c>
      <c r="Q166" s="6"/>
      <c r="R166" s="6">
        <f>670511+286000</f>
        <v>956511</v>
      </c>
      <c r="S166" s="6">
        <f>420404</f>
        <v>420404</v>
      </c>
      <c r="T166" s="6">
        <f>5000+541085</f>
        <v>546085</v>
      </c>
      <c r="U166" s="6">
        <f>827085-286000-541085</f>
        <v>0</v>
      </c>
      <c r="V166" s="6"/>
      <c r="W166" s="6">
        <f t="shared" si="18"/>
        <v>0</v>
      </c>
      <c r="X166" s="6">
        <f>76302+954073.57</f>
        <v>1030375.57</v>
      </c>
      <c r="Y166" s="6">
        <f t="shared" si="20"/>
        <v>423539.43000000005</v>
      </c>
      <c r="Z166" s="6">
        <f t="shared" si="19"/>
        <v>969624.43</v>
      </c>
    </row>
    <row r="167" spans="1:26" ht="30.75">
      <c r="A167" s="75"/>
      <c r="B167" s="82"/>
      <c r="C167" s="75"/>
      <c r="D167" s="77"/>
      <c r="E167" s="2" t="s">
        <v>658</v>
      </c>
      <c r="F167" s="14">
        <v>3132</v>
      </c>
      <c r="G167" s="1"/>
      <c r="H167" s="23"/>
      <c r="I167" s="6">
        <v>430000</v>
      </c>
      <c r="J167" s="28"/>
      <c r="K167" s="6"/>
      <c r="L167" s="6"/>
      <c r="M167" s="6"/>
      <c r="N167" s="6"/>
      <c r="O167" s="6"/>
      <c r="P167" s="6"/>
      <c r="Q167" s="6">
        <f>200000-175000</f>
        <v>25000</v>
      </c>
      <c r="R167" s="6"/>
      <c r="S167" s="6"/>
      <c r="T167" s="6">
        <f>210000+195000</f>
        <v>405000</v>
      </c>
      <c r="U167" s="6"/>
      <c r="V167" s="6">
        <f>20000+175000-195000</f>
        <v>0</v>
      </c>
      <c r="W167" s="6">
        <f>I167-K167-L167-M167-N167-O167-P167-Q167-R167-S167-T167-U167-V167</f>
        <v>0</v>
      </c>
      <c r="X167" s="6">
        <f>24806.53</f>
        <v>24806.53</v>
      </c>
      <c r="Y167" s="6">
        <f t="shared" si="20"/>
        <v>193.47000000000116</v>
      </c>
      <c r="Z167" s="6">
        <f>I167-X167</f>
        <v>405193.47</v>
      </c>
    </row>
    <row r="168" spans="1:26" ht="15">
      <c r="A168" s="75"/>
      <c r="B168" s="82"/>
      <c r="C168" s="75"/>
      <c r="D168" s="77"/>
      <c r="E168" s="2" t="s">
        <v>856</v>
      </c>
      <c r="F168" s="14">
        <v>3132</v>
      </c>
      <c r="G168" s="1"/>
      <c r="H168" s="23"/>
      <c r="I168" s="6">
        <v>700000</v>
      </c>
      <c r="J168" s="28"/>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15">
      <c r="A169" s="75"/>
      <c r="B169" s="82"/>
      <c r="C169" s="75"/>
      <c r="D169" s="77"/>
      <c r="E169" s="2" t="s">
        <v>860</v>
      </c>
      <c r="F169" s="14">
        <v>3132</v>
      </c>
      <c r="G169" s="1"/>
      <c r="H169" s="23"/>
      <c r="I169" s="6">
        <f>300000</f>
        <v>300000</v>
      </c>
      <c r="J169" s="28"/>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15">
      <c r="A170" s="75"/>
      <c r="B170" s="82"/>
      <c r="C170" s="75"/>
      <c r="D170" s="77"/>
      <c r="E170" s="2" t="s">
        <v>532</v>
      </c>
      <c r="F170" s="14">
        <v>3132</v>
      </c>
      <c r="G170" s="1"/>
      <c r="H170" s="23"/>
      <c r="I170" s="6">
        <f>1500000-300000</f>
        <v>1200000</v>
      </c>
      <c r="J170" s="28"/>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15">
      <c r="A171" s="75"/>
      <c r="B171" s="82"/>
      <c r="C171" s="75"/>
      <c r="D171" s="77"/>
      <c r="E171" s="2" t="s">
        <v>389</v>
      </c>
      <c r="F171" s="14">
        <v>3132</v>
      </c>
      <c r="G171" s="1"/>
      <c r="H171" s="23"/>
      <c r="I171" s="6">
        <v>2050</v>
      </c>
      <c r="J171" s="28"/>
      <c r="K171" s="6"/>
      <c r="L171" s="6"/>
      <c r="M171" s="6"/>
      <c r="N171" s="6"/>
      <c r="O171" s="6"/>
      <c r="P171" s="6"/>
      <c r="Q171" s="6"/>
      <c r="R171" s="6"/>
      <c r="S171" s="6"/>
      <c r="T171" s="6"/>
      <c r="U171" s="6"/>
      <c r="V171" s="6">
        <v>2050</v>
      </c>
      <c r="W171" s="6">
        <f t="shared" si="18"/>
        <v>0</v>
      </c>
      <c r="X171" s="6"/>
      <c r="Y171" s="6">
        <f t="shared" si="20"/>
        <v>0</v>
      </c>
      <c r="Z171" s="6">
        <f t="shared" si="19"/>
        <v>2050</v>
      </c>
    </row>
    <row r="172" spans="1:26" ht="15">
      <c r="A172" s="75"/>
      <c r="B172" s="82"/>
      <c r="C172" s="75"/>
      <c r="D172" s="77"/>
      <c r="E172" s="2" t="s">
        <v>533</v>
      </c>
      <c r="F172" s="14">
        <v>3132</v>
      </c>
      <c r="G172" s="1"/>
      <c r="H172" s="23"/>
      <c r="I172" s="6">
        <f>1499000-100000</f>
        <v>1399000</v>
      </c>
      <c r="J172" s="28"/>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15">
      <c r="A173" s="75"/>
      <c r="B173" s="82"/>
      <c r="C173" s="75"/>
      <c r="D173" s="77"/>
      <c r="E173" s="2" t="s">
        <v>857</v>
      </c>
      <c r="F173" s="14">
        <v>3132</v>
      </c>
      <c r="G173" s="1"/>
      <c r="H173" s="23"/>
      <c r="I173" s="6">
        <f>200000</f>
        <v>200000</v>
      </c>
      <c r="J173" s="28"/>
      <c r="K173" s="6"/>
      <c r="L173" s="6"/>
      <c r="M173" s="6"/>
      <c r="N173" s="6"/>
      <c r="O173" s="6"/>
      <c r="P173" s="6"/>
      <c r="Q173" s="6"/>
      <c r="R173" s="6"/>
      <c r="S173" s="6">
        <v>200000</v>
      </c>
      <c r="T173" s="6"/>
      <c r="U173" s="6"/>
      <c r="V173" s="6">
        <f>200000-200000</f>
        <v>0</v>
      </c>
      <c r="W173" s="6">
        <f t="shared" si="18"/>
        <v>0</v>
      </c>
      <c r="X173" s="6"/>
      <c r="Y173" s="6">
        <f>K173+L173+M173+N173+O173+P173+Q173+R173+S173-X173</f>
        <v>200000</v>
      </c>
      <c r="Z173" s="6">
        <f>I173-X173</f>
        <v>200000</v>
      </c>
    </row>
    <row r="174" spans="1:26" ht="30.75">
      <c r="A174" s="75"/>
      <c r="B174" s="82"/>
      <c r="C174" s="75"/>
      <c r="D174" s="77"/>
      <c r="E174" s="2" t="s">
        <v>763</v>
      </c>
      <c r="F174" s="14">
        <v>3132</v>
      </c>
      <c r="G174" s="1"/>
      <c r="H174" s="23"/>
      <c r="I174" s="6">
        <f>300000+106849.24</f>
        <v>406849.24</v>
      </c>
      <c r="J174" s="28"/>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5"/>
      <c r="B175" s="82"/>
      <c r="C175" s="75"/>
      <c r="D175" s="77"/>
      <c r="E175" s="2" t="s">
        <v>885</v>
      </c>
      <c r="F175" s="14">
        <v>3132</v>
      </c>
      <c r="G175" s="1"/>
      <c r="H175" s="23"/>
      <c r="I175" s="6">
        <v>1290000</v>
      </c>
      <c r="J175" s="28"/>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5"/>
      <c r="B176" s="82"/>
      <c r="C176" s="75"/>
      <c r="D176" s="77"/>
      <c r="E176" s="2" t="s">
        <v>376</v>
      </c>
      <c r="F176" s="14">
        <v>3132</v>
      </c>
      <c r="G176" s="1"/>
      <c r="H176" s="23"/>
      <c r="I176" s="6">
        <v>700000</v>
      </c>
      <c r="J176" s="28"/>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5"/>
      <c r="B177" s="82"/>
      <c r="C177" s="75"/>
      <c r="D177" s="77"/>
      <c r="E177" s="2" t="s">
        <v>882</v>
      </c>
      <c r="F177" s="14">
        <v>3132</v>
      </c>
      <c r="G177" s="1"/>
      <c r="H177" s="23"/>
      <c r="I177" s="6">
        <f>785000</f>
        <v>785000</v>
      </c>
      <c r="J177" s="28"/>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5"/>
      <c r="B178" s="82"/>
      <c r="C178" s="75"/>
      <c r="D178" s="77"/>
      <c r="E178" s="2" t="s">
        <v>883</v>
      </c>
      <c r="F178" s="14">
        <v>3132</v>
      </c>
      <c r="G178" s="1"/>
      <c r="H178" s="23"/>
      <c r="I178" s="6">
        <f>800000</f>
        <v>800000</v>
      </c>
      <c r="J178" s="28"/>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15">
      <c r="A179" s="75"/>
      <c r="B179" s="82"/>
      <c r="C179" s="75"/>
      <c r="D179" s="77"/>
      <c r="E179" s="2" t="s">
        <v>557</v>
      </c>
      <c r="F179" s="14">
        <v>3132</v>
      </c>
      <c r="G179" s="1"/>
      <c r="H179" s="23"/>
      <c r="I179" s="6">
        <f>650000+347201.6</f>
        <v>997201.6</v>
      </c>
      <c r="J179" s="28"/>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15">
      <c r="A180" s="72" t="s">
        <v>127</v>
      </c>
      <c r="B180" s="81">
        <v>1090</v>
      </c>
      <c r="C180" s="72" t="s">
        <v>125</v>
      </c>
      <c r="D180" s="74"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3"/>
      <c r="B181" s="84"/>
      <c r="C181" s="83"/>
      <c r="D181" s="85"/>
      <c r="E181" s="2" t="s">
        <v>393</v>
      </c>
      <c r="F181" s="14">
        <v>3132</v>
      </c>
      <c r="G181" s="1"/>
      <c r="H181" s="23"/>
      <c r="I181" s="6">
        <v>1690</v>
      </c>
      <c r="J181" s="28"/>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15">
      <c r="A182" s="72" t="s">
        <v>128</v>
      </c>
      <c r="B182" s="81">
        <v>1100</v>
      </c>
      <c r="C182" s="72" t="s">
        <v>125</v>
      </c>
      <c r="D182" s="74"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5"/>
      <c r="B183" s="82"/>
      <c r="C183" s="75"/>
      <c r="D183" s="77"/>
      <c r="E183" s="2" t="s">
        <v>250</v>
      </c>
      <c r="F183" s="14">
        <v>3132</v>
      </c>
      <c r="G183" s="1"/>
      <c r="H183" s="23"/>
      <c r="I183" s="6">
        <v>1000000</v>
      </c>
      <c r="J183" s="28"/>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5"/>
      <c r="B184" s="82"/>
      <c r="C184" s="75"/>
      <c r="D184" s="77"/>
      <c r="E184" s="2" t="s">
        <v>887</v>
      </c>
      <c r="F184" s="14">
        <v>3132</v>
      </c>
      <c r="G184" s="1"/>
      <c r="H184" s="23"/>
      <c r="I184" s="6">
        <v>196000</v>
      </c>
      <c r="J184" s="28"/>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5"/>
      <c r="B185" s="82"/>
      <c r="C185" s="75"/>
      <c r="D185" s="77"/>
      <c r="E185" s="2" t="s">
        <v>251</v>
      </c>
      <c r="F185" s="14">
        <v>3132</v>
      </c>
      <c r="G185" s="1"/>
      <c r="H185" s="23"/>
      <c r="I185" s="6">
        <v>300000</v>
      </c>
      <c r="J185" s="28"/>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5"/>
      <c r="B186" s="82"/>
      <c r="C186" s="75"/>
      <c r="D186" s="77"/>
      <c r="E186" s="2" t="s">
        <v>252</v>
      </c>
      <c r="F186" s="14">
        <v>3132</v>
      </c>
      <c r="G186" s="1"/>
      <c r="H186" s="23"/>
      <c r="I186" s="6">
        <v>200000</v>
      </c>
      <c r="J186" s="28"/>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5"/>
      <c r="B187" s="82"/>
      <c r="C187" s="75"/>
      <c r="D187" s="77"/>
      <c r="E187" s="2" t="s">
        <v>535</v>
      </c>
      <c r="F187" s="14">
        <v>3132</v>
      </c>
      <c r="G187" s="1"/>
      <c r="H187" s="23"/>
      <c r="I187" s="6">
        <v>22260</v>
      </c>
      <c r="J187" s="28"/>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5"/>
      <c r="B188" s="82"/>
      <c r="C188" s="75"/>
      <c r="D188" s="77"/>
      <c r="E188" s="2" t="s">
        <v>900</v>
      </c>
      <c r="F188" s="14">
        <v>3132</v>
      </c>
      <c r="G188" s="1"/>
      <c r="H188" s="23"/>
      <c r="I188" s="6">
        <v>200000</v>
      </c>
      <c r="J188" s="28"/>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5"/>
      <c r="B189" s="82"/>
      <c r="C189" s="75"/>
      <c r="D189" s="77"/>
      <c r="E189" s="2" t="s">
        <v>536</v>
      </c>
      <c r="F189" s="14">
        <v>3132</v>
      </c>
      <c r="G189" s="1"/>
      <c r="H189" s="23"/>
      <c r="I189" s="6">
        <v>5220</v>
      </c>
      <c r="J189" s="28"/>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5"/>
      <c r="B190" s="82"/>
      <c r="C190" s="75"/>
      <c r="D190" s="77"/>
      <c r="E190" s="2" t="s">
        <v>708</v>
      </c>
      <c r="F190" s="14">
        <v>3132</v>
      </c>
      <c r="G190" s="1"/>
      <c r="H190" s="23"/>
      <c r="I190" s="6">
        <f>980000-980000</f>
        <v>0</v>
      </c>
      <c r="J190" s="28"/>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5"/>
      <c r="B191" s="82"/>
      <c r="C191" s="75"/>
      <c r="D191" s="77"/>
      <c r="E191" s="2" t="s">
        <v>759</v>
      </c>
      <c r="F191" s="14">
        <v>3132</v>
      </c>
      <c r="G191" s="1"/>
      <c r="H191" s="23"/>
      <c r="I191" s="6">
        <v>300000</v>
      </c>
      <c r="J191" s="28"/>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5"/>
      <c r="B192" s="82"/>
      <c r="C192" s="75"/>
      <c r="D192" s="77"/>
      <c r="E192" s="2" t="s">
        <v>394</v>
      </c>
      <c r="F192" s="14">
        <v>3132</v>
      </c>
      <c r="G192" s="1"/>
      <c r="H192" s="23"/>
      <c r="I192" s="6">
        <v>10200</v>
      </c>
      <c r="J192" s="28"/>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5"/>
      <c r="B193" s="82"/>
      <c r="C193" s="75"/>
      <c r="D193" s="77"/>
      <c r="E193" s="2" t="s">
        <v>888</v>
      </c>
      <c r="F193" s="14">
        <v>3132</v>
      </c>
      <c r="G193" s="1"/>
      <c r="H193" s="23"/>
      <c r="I193" s="6">
        <v>990000</v>
      </c>
      <c r="J193" s="28"/>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5"/>
      <c r="B194" s="82"/>
      <c r="C194" s="75"/>
      <c r="D194" s="77"/>
      <c r="E194" s="2" t="s">
        <v>395</v>
      </c>
      <c r="F194" s="14">
        <v>3132</v>
      </c>
      <c r="G194" s="1"/>
      <c r="H194" s="23"/>
      <c r="I194" s="6">
        <v>9000</v>
      </c>
      <c r="J194" s="28"/>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5"/>
      <c r="B195" s="82"/>
      <c r="C195" s="75"/>
      <c r="D195" s="77"/>
      <c r="E195" s="2" t="s">
        <v>396</v>
      </c>
      <c r="F195" s="14">
        <v>3132</v>
      </c>
      <c r="G195" s="1"/>
      <c r="H195" s="23"/>
      <c r="I195" s="6">
        <v>354610</v>
      </c>
      <c r="J195" s="28"/>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2" t="s">
        <v>735</v>
      </c>
      <c r="B196" s="86">
        <v>1110</v>
      </c>
      <c r="C196" s="87" t="s">
        <v>736</v>
      </c>
      <c r="D196" s="88"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343709.70999999996</v>
      </c>
      <c r="Y196" s="6">
        <f t="shared" si="20"/>
        <v>555633.29</v>
      </c>
      <c r="Z196" s="6">
        <f aca="true" t="shared" si="24" ref="Z196:Z202">I196-X196</f>
        <v>555633.29</v>
      </c>
    </row>
    <row r="197" spans="1:26" ht="78">
      <c r="A197" s="75"/>
      <c r="B197" s="86"/>
      <c r="C197" s="87"/>
      <c r="D197" s="89"/>
      <c r="E197" s="2" t="s">
        <v>738</v>
      </c>
      <c r="F197" s="14">
        <v>3110</v>
      </c>
      <c r="G197" s="1"/>
      <c r="H197" s="23"/>
      <c r="I197" s="6">
        <v>633343</v>
      </c>
      <c r="J197" s="28"/>
      <c r="K197" s="6"/>
      <c r="L197" s="6"/>
      <c r="M197" s="6"/>
      <c r="N197" s="6"/>
      <c r="O197" s="6"/>
      <c r="P197" s="6"/>
      <c r="Q197" s="6"/>
      <c r="R197" s="6">
        <v>582296</v>
      </c>
      <c r="S197" s="6">
        <v>51047</v>
      </c>
      <c r="T197" s="6"/>
      <c r="U197" s="6"/>
      <c r="V197" s="6"/>
      <c r="W197" s="6">
        <f>I197-K197-L197-M197-N197-O197-P197-Q197-R197-S197-T197-U197-V197</f>
        <v>0</v>
      </c>
      <c r="X197" s="6">
        <f>153809.71+189900</f>
        <v>343709.70999999996</v>
      </c>
      <c r="Y197" s="6">
        <f t="shared" si="20"/>
        <v>289633.29000000004</v>
      </c>
      <c r="Z197" s="6">
        <f t="shared" si="24"/>
        <v>289633.29000000004</v>
      </c>
    </row>
    <row r="198" spans="1:26" ht="78">
      <c r="A198" s="83"/>
      <c r="B198" s="90"/>
      <c r="C198" s="91"/>
      <c r="D198" s="92"/>
      <c r="E198" s="2" t="s">
        <v>807</v>
      </c>
      <c r="F198" s="14">
        <v>3110</v>
      </c>
      <c r="G198" s="1"/>
      <c r="H198" s="23"/>
      <c r="I198" s="6">
        <f>266000</f>
        <v>266000</v>
      </c>
      <c r="J198" s="28"/>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15">
      <c r="A199" s="72" t="s">
        <v>875</v>
      </c>
      <c r="B199" s="90">
        <v>1161</v>
      </c>
      <c r="C199" s="91" t="s">
        <v>876</v>
      </c>
      <c r="D199" s="88"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3"/>
      <c r="B200" s="90"/>
      <c r="C200" s="91"/>
      <c r="D200" s="92"/>
      <c r="E200" s="21" t="s">
        <v>878</v>
      </c>
      <c r="F200" s="14">
        <v>3132</v>
      </c>
      <c r="G200" s="1"/>
      <c r="H200" s="23"/>
      <c r="I200" s="6">
        <f>200000</f>
        <v>200000</v>
      </c>
      <c r="J200" s="28"/>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15">
      <c r="A201" s="87" t="s">
        <v>653</v>
      </c>
      <c r="B201" s="86">
        <v>3241</v>
      </c>
      <c r="C201" s="87"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7"/>
      <c r="B202" s="86"/>
      <c r="C202" s="87"/>
      <c r="D202" s="35"/>
      <c r="E202" s="2" t="s">
        <v>727</v>
      </c>
      <c r="F202" s="14">
        <v>3132</v>
      </c>
      <c r="G202" s="1"/>
      <c r="H202" s="23"/>
      <c r="I202" s="6">
        <v>200000</v>
      </c>
      <c r="J202" s="28"/>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15">
      <c r="A203" s="73" t="s">
        <v>56</v>
      </c>
      <c r="B203" s="73" t="s">
        <v>57</v>
      </c>
      <c r="C203" s="73" t="s">
        <v>58</v>
      </c>
      <c r="D203" s="74"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6"/>
      <c r="B204" s="76"/>
      <c r="C204" s="76"/>
      <c r="D204" s="77"/>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6"/>
      <c r="B205" s="76"/>
      <c r="C205" s="76"/>
      <c r="D205" s="77"/>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6"/>
      <c r="B206" s="76"/>
      <c r="C206" s="76"/>
      <c r="D206" s="77"/>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15">
      <c r="A207" s="76"/>
      <c r="B207" s="76"/>
      <c r="C207" s="76"/>
      <c r="D207" s="77"/>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15">
      <c r="A208" s="73" t="s">
        <v>703</v>
      </c>
      <c r="B208" s="73" t="s">
        <v>704</v>
      </c>
      <c r="C208" s="73" t="s">
        <v>705</v>
      </c>
      <c r="D208" s="74"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15">
      <c r="A209" s="93"/>
      <c r="B209" s="93"/>
      <c r="C209" s="93"/>
      <c r="D209" s="85"/>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15">
      <c r="A210" s="87" t="s">
        <v>399</v>
      </c>
      <c r="B210" s="86">
        <v>5031</v>
      </c>
      <c r="C210" s="87" t="s">
        <v>400</v>
      </c>
      <c r="D210" s="94"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326700</v>
      </c>
      <c r="T210" s="12">
        <f t="shared" si="29"/>
        <v>2554150</v>
      </c>
      <c r="U210" s="12">
        <f t="shared" si="29"/>
        <v>400500</v>
      </c>
      <c r="V210" s="12">
        <f t="shared" si="29"/>
        <v>1166300</v>
      </c>
      <c r="W210" s="6">
        <f aca="true" t="shared" si="30" ref="W210:W277">I210-K210-L210-M210-N210-O210-P210-Q210-R210-S210-T210-U210-V210</f>
        <v>0</v>
      </c>
      <c r="X210" s="12">
        <f t="shared" si="29"/>
        <v>311166.22</v>
      </c>
      <c r="Y210" s="6">
        <f t="shared" si="20"/>
        <v>1754933.78</v>
      </c>
      <c r="Z210" s="6">
        <f t="shared" si="19"/>
        <v>5875883.78</v>
      </c>
    </row>
    <row r="211" spans="1:26" ht="15">
      <c r="A211" s="87"/>
      <c r="B211" s="86"/>
      <c r="C211" s="87"/>
      <c r="D211" s="94"/>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7"/>
      <c r="B212" s="86"/>
      <c r="C212" s="87"/>
      <c r="D212" s="94"/>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7"/>
      <c r="B213" s="86"/>
      <c r="C213" s="87"/>
      <c r="D213" s="94"/>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7"/>
      <c r="B214" s="86"/>
      <c r="C214" s="87"/>
      <c r="D214" s="94"/>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7"/>
      <c r="B215" s="86"/>
      <c r="C215" s="87"/>
      <c r="D215" s="94"/>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7"/>
      <c r="B216" s="86"/>
      <c r="C216" s="87"/>
      <c r="D216" s="94"/>
      <c r="E216" s="5" t="s">
        <v>728</v>
      </c>
      <c r="F216" s="14">
        <v>3110</v>
      </c>
      <c r="G216" s="1"/>
      <c r="H216" s="4"/>
      <c r="I216" s="6">
        <v>1700000</v>
      </c>
      <c r="J216" s="10"/>
      <c r="K216" s="6"/>
      <c r="L216" s="6"/>
      <c r="M216" s="6"/>
      <c r="N216" s="6"/>
      <c r="O216" s="6">
        <f>941400</f>
        <v>941400</v>
      </c>
      <c r="P216" s="6"/>
      <c r="Q216" s="6"/>
      <c r="R216" s="6">
        <f>7000</f>
        <v>7000</v>
      </c>
      <c r="S216" s="6">
        <f>276700-1000000-50000</f>
        <v>-773300</v>
      </c>
      <c r="T216" s="6">
        <f>383100</f>
        <v>383100</v>
      </c>
      <c r="U216" s="6">
        <f>50500+50000</f>
        <v>100500</v>
      </c>
      <c r="V216" s="6">
        <f>41300+1000000</f>
        <v>1041300</v>
      </c>
      <c r="W216" s="6">
        <f>I216-K216-L216-M216-N216-O216-P216-Q216-R216-S216-T216-U216-V216</f>
        <v>0</v>
      </c>
      <c r="X216" s="6">
        <f>54500</f>
        <v>54500</v>
      </c>
      <c r="Y216" s="6">
        <f t="shared" si="20"/>
        <v>120600</v>
      </c>
      <c r="Z216" s="6">
        <f>I216-X216</f>
        <v>1645500</v>
      </c>
    </row>
    <row r="217" spans="1:26" ht="46.5">
      <c r="A217" s="87"/>
      <c r="B217" s="86"/>
      <c r="C217" s="87"/>
      <c r="D217" s="94"/>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15">
      <c r="A218" s="87"/>
      <c r="B218" s="86"/>
      <c r="C218" s="87"/>
      <c r="D218" s="94"/>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7"/>
      <c r="B219" s="86"/>
      <c r="C219" s="87"/>
      <c r="D219" s="94"/>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7"/>
      <c r="B220" s="86"/>
      <c r="C220" s="87"/>
      <c r="D220" s="94"/>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15">
      <c r="A221" s="87"/>
      <c r="B221" s="86"/>
      <c r="C221" s="87"/>
      <c r="D221" s="94"/>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7"/>
      <c r="B222" s="86"/>
      <c r="C222" s="87"/>
      <c r="D222" s="94"/>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7"/>
      <c r="B223" s="86"/>
      <c r="C223" s="87"/>
      <c r="D223" s="94"/>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7"/>
      <c r="B224" s="86"/>
      <c r="C224" s="87"/>
      <c r="D224" s="94"/>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15">
      <c r="A225" s="87"/>
      <c r="B225" s="86"/>
      <c r="C225" s="87"/>
      <c r="D225" s="94"/>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15">
      <c r="A226" s="87"/>
      <c r="B226" s="86"/>
      <c r="C226" s="87"/>
      <c r="D226" s="94"/>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7"/>
      <c r="B227" s="86"/>
      <c r="C227" s="87"/>
      <c r="D227" s="94"/>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7"/>
      <c r="B228" s="86"/>
      <c r="C228" s="87"/>
      <c r="D228" s="94"/>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7"/>
      <c r="B229" s="86"/>
      <c r="C229" s="87"/>
      <c r="D229" s="94"/>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7"/>
      <c r="B230" s="86"/>
      <c r="C230" s="87"/>
      <c r="D230" s="94"/>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7"/>
      <c r="B231" s="86"/>
      <c r="C231" s="87"/>
      <c r="D231" s="94"/>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7"/>
      <c r="B232" s="86"/>
      <c r="C232" s="87"/>
      <c r="D232" s="94"/>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7"/>
      <c r="B233" s="86"/>
      <c r="C233" s="87"/>
      <c r="D233" s="94"/>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15" hidden="1">
      <c r="A234" s="87"/>
      <c r="B234" s="86"/>
      <c r="C234" s="87"/>
      <c r="D234" s="94"/>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7"/>
      <c r="B235" s="86"/>
      <c r="C235" s="87"/>
      <c r="D235" s="94"/>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7"/>
      <c r="B236" s="86"/>
      <c r="C236" s="87"/>
      <c r="D236" s="94"/>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15" hidden="1">
      <c r="A237" s="87"/>
      <c r="B237" s="86"/>
      <c r="C237" s="87"/>
      <c r="D237" s="94"/>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7"/>
      <c r="B238" s="86"/>
      <c r="C238" s="87"/>
      <c r="D238" s="94"/>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7"/>
      <c r="B239" s="86"/>
      <c r="C239" s="87"/>
      <c r="D239" s="94"/>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7"/>
      <c r="B240" s="86"/>
      <c r="C240" s="87"/>
      <c r="D240" s="94"/>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7"/>
      <c r="B241" s="86"/>
      <c r="C241" s="87"/>
      <c r="D241" s="94"/>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7"/>
      <c r="B242" s="86"/>
      <c r="C242" s="87"/>
      <c r="D242" s="94"/>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15">
      <c r="A243" s="87"/>
      <c r="B243" s="86"/>
      <c r="C243" s="87"/>
      <c r="D243" s="94"/>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7"/>
      <c r="B244" s="86"/>
      <c r="C244" s="87"/>
      <c r="D244" s="94"/>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7"/>
      <c r="B245" s="86"/>
      <c r="C245" s="87"/>
      <c r="D245" s="94"/>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7"/>
      <c r="B246" s="86"/>
      <c r="C246" s="87"/>
      <c r="D246" s="94"/>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7"/>
      <c r="B247" s="86"/>
      <c r="C247" s="87"/>
      <c r="D247" s="94"/>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7"/>
      <c r="B248" s="86"/>
      <c r="C248" s="87"/>
      <c r="D248" s="94"/>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15">
      <c r="A249" s="87"/>
      <c r="B249" s="86"/>
      <c r="C249" s="87"/>
      <c r="D249" s="94"/>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15" hidden="1">
      <c r="A250" s="87"/>
      <c r="B250" s="86"/>
      <c r="C250" s="87"/>
      <c r="D250" s="94"/>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7"/>
      <c r="B251" s="86"/>
      <c r="C251" s="87"/>
      <c r="D251" s="94"/>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7"/>
      <c r="B252" s="86"/>
      <c r="C252" s="87"/>
      <c r="D252" s="94"/>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15">
      <c r="A253" s="87"/>
      <c r="B253" s="86"/>
      <c r="C253" s="87"/>
      <c r="D253" s="94"/>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15">
      <c r="A254" s="87"/>
      <c r="B254" s="86"/>
      <c r="C254" s="87"/>
      <c r="D254" s="94"/>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15">
      <c r="A255" s="87"/>
      <c r="B255" s="86"/>
      <c r="C255" s="87"/>
      <c r="D255" s="94"/>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15" hidden="1">
      <c r="A256" s="87"/>
      <c r="B256" s="86"/>
      <c r="C256" s="87"/>
      <c r="D256" s="94"/>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15" hidden="1">
      <c r="A257" s="87"/>
      <c r="B257" s="86"/>
      <c r="C257" s="87"/>
      <c r="D257" s="94"/>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7"/>
      <c r="B258" s="86"/>
      <c r="C258" s="87"/>
      <c r="D258" s="94"/>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7"/>
      <c r="B259" s="86"/>
      <c r="C259" s="87"/>
      <c r="D259" s="94"/>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7"/>
      <c r="B260" s="86"/>
      <c r="C260" s="87"/>
      <c r="D260" s="94"/>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7"/>
      <c r="B261" s="86"/>
      <c r="C261" s="87"/>
      <c r="D261" s="94"/>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15" hidden="1">
      <c r="A262" s="87"/>
      <c r="B262" s="86"/>
      <c r="C262" s="87"/>
      <c r="D262" s="94"/>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15" hidden="1">
      <c r="A263" s="87"/>
      <c r="B263" s="86"/>
      <c r="C263" s="87"/>
      <c r="D263" s="94"/>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7"/>
      <c r="B264" s="86"/>
      <c r="C264" s="87"/>
      <c r="D264" s="94"/>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7"/>
      <c r="B265" s="86"/>
      <c r="C265" s="87"/>
      <c r="D265" s="94"/>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7"/>
      <c r="B266" s="86"/>
      <c r="C266" s="87"/>
      <c r="D266" s="94"/>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7"/>
      <c r="B267" s="86"/>
      <c r="C267" s="87"/>
      <c r="D267" s="94"/>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7"/>
      <c r="B268" s="86"/>
      <c r="C268" s="87"/>
      <c r="D268" s="94"/>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7"/>
      <c r="B269" s="86"/>
      <c r="C269" s="87"/>
      <c r="D269" s="94"/>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7"/>
      <c r="B270" s="86"/>
      <c r="C270" s="87"/>
      <c r="D270" s="94"/>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15" hidden="1">
      <c r="A271" s="72" t="s">
        <v>260</v>
      </c>
      <c r="B271" s="81">
        <v>5041</v>
      </c>
      <c r="C271" s="72"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3"/>
      <c r="B272" s="84"/>
      <c r="C272" s="83"/>
      <c r="D272" s="95"/>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15">
      <c r="A273" s="36" t="s">
        <v>65</v>
      </c>
      <c r="B273" s="36" t="s">
        <v>61</v>
      </c>
      <c r="C273" s="36" t="s">
        <v>63</v>
      </c>
      <c r="D273" s="94"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15">
      <c r="A274" s="36"/>
      <c r="B274" s="36"/>
      <c r="C274" s="36"/>
      <c r="D274" s="94"/>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15">
      <c r="A275" s="36"/>
      <c r="B275" s="36"/>
      <c r="C275" s="36"/>
      <c r="D275" s="94"/>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15">
      <c r="A276" s="36"/>
      <c r="B276" s="36"/>
      <c r="C276" s="36"/>
      <c r="D276" s="94"/>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15">
      <c r="A277" s="36"/>
      <c r="B277" s="36"/>
      <c r="C277" s="36"/>
      <c r="D277" s="94"/>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15">
      <c r="A278" s="36"/>
      <c r="B278" s="36"/>
      <c r="C278" s="36"/>
      <c r="D278" s="94"/>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15">
      <c r="A279" s="36"/>
      <c r="B279" s="36"/>
      <c r="C279" s="36"/>
      <c r="D279" s="94"/>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15">
      <c r="A280" s="36"/>
      <c r="B280" s="36"/>
      <c r="C280" s="36"/>
      <c r="D280" s="94"/>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4"/>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15">
      <c r="A282" s="36"/>
      <c r="B282" s="36"/>
      <c r="C282" s="36"/>
      <c r="D282" s="94"/>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15">
      <c r="A283" s="36"/>
      <c r="B283" s="36"/>
      <c r="C283" s="36"/>
      <c r="D283" s="94"/>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4"/>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15">
      <c r="A285" s="36"/>
      <c r="B285" s="36"/>
      <c r="C285" s="36"/>
      <c r="D285" s="94"/>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15">
      <c r="A286" s="36"/>
      <c r="B286" s="36"/>
      <c r="C286" s="36"/>
      <c r="D286" s="94"/>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15">
      <c r="A287" s="36"/>
      <c r="B287" s="36"/>
      <c r="C287" s="36"/>
      <c r="D287" s="94"/>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15">
      <c r="A288" s="36"/>
      <c r="B288" s="36"/>
      <c r="C288" s="36"/>
      <c r="D288" s="94"/>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4"/>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15">
      <c r="A290" s="36"/>
      <c r="B290" s="36"/>
      <c r="C290" s="36"/>
      <c r="D290" s="94"/>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4"/>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15">
      <c r="A292" s="36"/>
      <c r="B292" s="36"/>
      <c r="C292" s="36"/>
      <c r="D292" s="94"/>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15">
      <c r="A293" s="36"/>
      <c r="B293" s="36"/>
      <c r="C293" s="36"/>
      <c r="D293" s="94"/>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15">
      <c r="A294" s="36"/>
      <c r="B294" s="36"/>
      <c r="C294" s="36"/>
      <c r="D294" s="94"/>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15">
      <c r="A295" s="36"/>
      <c r="B295" s="36"/>
      <c r="C295" s="36"/>
      <c r="D295" s="94"/>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15">
      <c r="A296" s="36"/>
      <c r="B296" s="36"/>
      <c r="C296" s="36"/>
      <c r="D296" s="94"/>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15">
      <c r="A297" s="36"/>
      <c r="B297" s="36"/>
      <c r="C297" s="36"/>
      <c r="D297" s="94"/>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15">
      <c r="A298" s="36"/>
      <c r="B298" s="36"/>
      <c r="C298" s="36"/>
      <c r="D298" s="94"/>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15">
      <c r="A299" s="36"/>
      <c r="B299" s="36"/>
      <c r="C299" s="36"/>
      <c r="D299" s="94"/>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15">
      <c r="A300" s="36"/>
      <c r="B300" s="36"/>
      <c r="C300" s="36"/>
      <c r="D300" s="94"/>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15">
      <c r="A301" s="36"/>
      <c r="B301" s="36"/>
      <c r="C301" s="36"/>
      <c r="D301" s="94"/>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15">
      <c r="A302" s="36"/>
      <c r="B302" s="36"/>
      <c r="C302" s="36"/>
      <c r="D302" s="94"/>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15">
      <c r="A303" s="36"/>
      <c r="B303" s="36"/>
      <c r="C303" s="36"/>
      <c r="D303" s="94"/>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4"/>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15">
      <c r="A305" s="36"/>
      <c r="B305" s="36"/>
      <c r="C305" s="36"/>
      <c r="D305" s="94"/>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15">
      <c r="A306" s="36"/>
      <c r="B306" s="36"/>
      <c r="C306" s="36"/>
      <c r="D306" s="94"/>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15">
      <c r="A307" s="36"/>
      <c r="B307" s="36"/>
      <c r="C307" s="36"/>
      <c r="D307" s="94"/>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15">
      <c r="A308" s="36"/>
      <c r="B308" s="36"/>
      <c r="C308" s="36"/>
      <c r="D308" s="94"/>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15">
      <c r="A309" s="36"/>
      <c r="B309" s="36"/>
      <c r="C309" s="36"/>
      <c r="D309" s="94"/>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15">
      <c r="A310" s="36"/>
      <c r="B310" s="36"/>
      <c r="C310" s="36"/>
      <c r="D310" s="94"/>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15">
      <c r="A311" s="36"/>
      <c r="B311" s="36"/>
      <c r="C311" s="36"/>
      <c r="D311" s="94"/>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15">
      <c r="A312" s="36"/>
      <c r="B312" s="36"/>
      <c r="C312" s="36"/>
      <c r="D312" s="94"/>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15">
      <c r="A313" s="36"/>
      <c r="B313" s="36"/>
      <c r="C313" s="36"/>
      <c r="D313" s="94"/>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4"/>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15">
      <c r="A315" s="36"/>
      <c r="B315" s="36"/>
      <c r="C315" s="36"/>
      <c r="D315" s="94"/>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15">
      <c r="A316" s="36"/>
      <c r="B316" s="36"/>
      <c r="C316" s="36"/>
      <c r="D316" s="94"/>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15" hidden="1">
      <c r="A317" s="36"/>
      <c r="B317" s="36"/>
      <c r="C317" s="36"/>
      <c r="D317" s="94"/>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15" hidden="1">
      <c r="A318" s="36"/>
      <c r="B318" s="36"/>
      <c r="C318" s="36"/>
      <c r="D318" s="94"/>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4"/>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15">
      <c r="A320" s="36"/>
      <c r="B320" s="36"/>
      <c r="C320" s="36"/>
      <c r="D320" s="94"/>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15" hidden="1">
      <c r="A321" s="36"/>
      <c r="B321" s="36"/>
      <c r="C321" s="36"/>
      <c r="D321" s="94"/>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15">
      <c r="A322" s="36"/>
      <c r="B322" s="36"/>
      <c r="C322" s="36"/>
      <c r="D322" s="94"/>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4"/>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4"/>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4"/>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4"/>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4"/>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6"/>
      <c r="B328" s="36"/>
      <c r="C328" s="36"/>
      <c r="D328" s="94"/>
      <c r="E328" s="5" t="s">
        <v>556</v>
      </c>
      <c r="F328" s="14">
        <v>3142</v>
      </c>
      <c r="G328" s="17"/>
      <c r="H328" s="18"/>
      <c r="I328" s="7">
        <v>2000000</v>
      </c>
      <c r="J328" s="19"/>
      <c r="K328" s="96"/>
      <c r="L328" s="96"/>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4"/>
      <c r="E329" s="5" t="s">
        <v>64</v>
      </c>
      <c r="F329" s="14">
        <v>3122</v>
      </c>
      <c r="G329" s="17"/>
      <c r="H329" s="18"/>
      <c r="I329" s="7">
        <f>1555930-1555930</f>
        <v>0</v>
      </c>
      <c r="J329" s="19"/>
      <c r="K329" s="96"/>
      <c r="L329" s="96"/>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15">
      <c r="A333" s="97"/>
      <c r="B333" s="34"/>
      <c r="C333" s="34"/>
      <c r="D333" s="95"/>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7"/>
      <c r="B338" s="97"/>
      <c r="C338" s="97"/>
      <c r="D338" s="95"/>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15">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4596697.82</v>
      </c>
      <c r="Y339" s="6">
        <f t="shared" si="37"/>
        <v>3712426.49</v>
      </c>
      <c r="Z339" s="6">
        <f t="shared" si="36"/>
        <v>3712426.49</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23366+126513.91</f>
        <v>149879.91</v>
      </c>
      <c r="Y351" s="6">
        <f t="shared" si="37"/>
        <v>307440.08999999997</v>
      </c>
      <c r="Z351" s="6">
        <f t="shared" si="36"/>
        <v>307440.08999999997</v>
      </c>
    </row>
    <row r="352" spans="1:26" ht="78">
      <c r="A352" s="41"/>
      <c r="B352" s="41"/>
      <c r="C352" s="41"/>
      <c r="D352" s="38"/>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17640-17640+17640</f>
        <v>17640</v>
      </c>
      <c r="Y358" s="6">
        <f t="shared" si="37"/>
        <v>945410</v>
      </c>
      <c r="Z358" s="6">
        <f t="shared" si="36"/>
        <v>945410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41"/>
      <c r="B360" s="41"/>
      <c r="C360" s="38"/>
      <c r="D360" s="38"/>
      <c r="E360" s="98"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6"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15">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41"/>
      <c r="B373" s="41"/>
      <c r="C373" s="38"/>
      <c r="D373" s="38"/>
      <c r="E373" s="98"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7"/>
      <c r="C376" s="95"/>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7"/>
      <c r="B377" s="99"/>
      <c r="C377" s="100"/>
      <c r="D377" s="95"/>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69" t="s">
        <v>70</v>
      </c>
      <c r="B378" s="70"/>
      <c r="C378" s="71"/>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69" t="s">
        <v>71</v>
      </c>
      <c r="B379" s="70"/>
      <c r="C379" s="71"/>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15">
      <c r="A380" s="73" t="s">
        <v>72</v>
      </c>
      <c r="B380" s="73" t="s">
        <v>74</v>
      </c>
      <c r="C380" s="73" t="s">
        <v>40</v>
      </c>
      <c r="D380" s="74"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6"/>
      <c r="B381" s="76"/>
      <c r="C381" s="76"/>
      <c r="D381" s="77"/>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15" hidden="1">
      <c r="A382" s="76"/>
      <c r="B382" s="76"/>
      <c r="C382" s="76"/>
      <c r="D382" s="77"/>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6"/>
      <c r="B383" s="76"/>
      <c r="C383" s="76"/>
      <c r="D383" s="77"/>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15" hidden="1">
      <c r="A384" s="76"/>
      <c r="B384" s="76"/>
      <c r="C384" s="76"/>
      <c r="D384" s="77"/>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6"/>
      <c r="B385" s="76"/>
      <c r="C385" s="76"/>
      <c r="D385" s="77"/>
      <c r="E385" s="3" t="s">
        <v>137</v>
      </c>
      <c r="F385" s="14"/>
      <c r="G385" s="101"/>
      <c r="H385" s="102"/>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15" hidden="1">
      <c r="A386" s="76"/>
      <c r="B386" s="76"/>
      <c r="C386" s="76"/>
      <c r="D386" s="77"/>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15" hidden="1">
      <c r="A387" s="76"/>
      <c r="B387" s="76"/>
      <c r="C387" s="76"/>
      <c r="D387" s="77"/>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6"/>
      <c r="B388" s="76"/>
      <c r="C388" s="76"/>
      <c r="D388" s="77"/>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6"/>
      <c r="B389" s="76"/>
      <c r="C389" s="76"/>
      <c r="D389" s="77"/>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6"/>
      <c r="B390" s="76"/>
      <c r="C390" s="76"/>
      <c r="D390" s="77"/>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6"/>
      <c r="B391" s="76"/>
      <c r="C391" s="76"/>
      <c r="D391" s="77"/>
      <c r="E391" s="103"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6"/>
      <c r="B392" s="76"/>
      <c r="C392" s="76"/>
      <c r="D392" s="77"/>
      <c r="E392" s="104"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6"/>
      <c r="B393" s="76"/>
      <c r="C393" s="76"/>
      <c r="D393" s="77"/>
      <c r="E393" s="103"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6"/>
      <c r="B394" s="76"/>
      <c r="C394" s="76"/>
      <c r="D394" s="77"/>
      <c r="E394" s="104"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6"/>
      <c r="B395" s="76"/>
      <c r="C395" s="76"/>
      <c r="D395" s="77"/>
      <c r="E395" s="103"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6"/>
      <c r="B396" s="76"/>
      <c r="C396" s="76"/>
      <c r="D396" s="77"/>
      <c r="E396" s="104"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6"/>
      <c r="B397" s="76"/>
      <c r="C397" s="76"/>
      <c r="D397" s="77"/>
      <c r="E397" s="103"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6"/>
      <c r="B398" s="76"/>
      <c r="C398" s="76"/>
      <c r="D398" s="77"/>
      <c r="E398" s="104"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6"/>
      <c r="B399" s="76"/>
      <c r="C399" s="76"/>
      <c r="D399" s="77"/>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6"/>
      <c r="B400" s="76"/>
      <c r="C400" s="76"/>
      <c r="D400" s="77"/>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6"/>
      <c r="B401" s="76"/>
      <c r="C401" s="76"/>
      <c r="D401" s="77"/>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6"/>
      <c r="B402" s="76"/>
      <c r="C402" s="76"/>
      <c r="D402" s="77"/>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6"/>
      <c r="B403" s="76"/>
      <c r="C403" s="76"/>
      <c r="D403" s="77"/>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6"/>
      <c r="B404" s="76"/>
      <c r="C404" s="76"/>
      <c r="D404" s="77"/>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6"/>
      <c r="B405" s="76"/>
      <c r="C405" s="76"/>
      <c r="D405" s="77"/>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6"/>
      <c r="B406" s="76"/>
      <c r="C406" s="76"/>
      <c r="D406" s="77"/>
      <c r="E406" s="104"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6"/>
      <c r="B407" s="76"/>
      <c r="C407" s="76"/>
      <c r="D407" s="77"/>
      <c r="E407" s="104"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6"/>
      <c r="B408" s="76"/>
      <c r="C408" s="76"/>
      <c r="D408" s="77"/>
      <c r="E408" s="103" t="s">
        <v>342</v>
      </c>
      <c r="F408" s="14"/>
      <c r="G408" s="101"/>
      <c r="H408" s="105"/>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6"/>
      <c r="B409" s="76"/>
      <c r="C409" s="76"/>
      <c r="D409" s="77"/>
      <c r="E409" s="104"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6"/>
      <c r="B410" s="76"/>
      <c r="C410" s="76"/>
      <c r="D410" s="77"/>
      <c r="E410" s="104"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6"/>
      <c r="B411" s="76"/>
      <c r="C411" s="76"/>
      <c r="D411" s="77"/>
      <c r="E411" s="104"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6"/>
      <c r="B412" s="76"/>
      <c r="C412" s="76"/>
      <c r="D412" s="77"/>
      <c r="E412" s="103" t="s">
        <v>345</v>
      </c>
      <c r="F412" s="14"/>
      <c r="G412" s="101"/>
      <c r="H412" s="105"/>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6"/>
      <c r="B413" s="76"/>
      <c r="C413" s="76"/>
      <c r="D413" s="77"/>
      <c r="E413" s="104"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6"/>
      <c r="B414" s="76"/>
      <c r="C414" s="76"/>
      <c r="D414" s="77"/>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6"/>
      <c r="B415" s="76"/>
      <c r="C415" s="76"/>
      <c r="D415" s="77"/>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6"/>
      <c r="B416" s="76"/>
      <c r="C416" s="76"/>
      <c r="D416" s="77"/>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6"/>
      <c r="B417" s="76"/>
      <c r="C417" s="76"/>
      <c r="D417" s="77"/>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6"/>
      <c r="B418" s="76"/>
      <c r="C418" s="76"/>
      <c r="D418" s="77"/>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6"/>
      <c r="B419" s="76"/>
      <c r="C419" s="76"/>
      <c r="D419" s="77"/>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6"/>
      <c r="B420" s="76"/>
      <c r="C420" s="76"/>
      <c r="D420" s="77"/>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6"/>
      <c r="B421" s="76"/>
      <c r="C421" s="76"/>
      <c r="D421" s="77"/>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6"/>
      <c r="B422" s="76"/>
      <c r="C422" s="76"/>
      <c r="D422" s="77"/>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6"/>
      <c r="B423" s="76"/>
      <c r="C423" s="76"/>
      <c r="D423" s="77"/>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6"/>
      <c r="B424" s="76"/>
      <c r="C424" s="76"/>
      <c r="D424" s="77"/>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6"/>
      <c r="B425" s="76"/>
      <c r="C425" s="76"/>
      <c r="D425" s="77"/>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3"/>
      <c r="B426" s="93"/>
      <c r="C426" s="93"/>
      <c r="D426" s="85"/>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3" t="s">
        <v>133</v>
      </c>
      <c r="B427" s="73" t="s">
        <v>107</v>
      </c>
      <c r="C427" s="73" t="s">
        <v>40</v>
      </c>
      <c r="D427" s="74"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6"/>
      <c r="B428" s="93"/>
      <c r="C428" s="93"/>
      <c r="D428" s="77"/>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3"/>
      <c r="B429" s="79"/>
      <c r="C429" s="79"/>
      <c r="D429" s="85"/>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15">
      <c r="A430" s="73" t="s">
        <v>353</v>
      </c>
      <c r="B430" s="73" t="s">
        <v>352</v>
      </c>
      <c r="C430" s="73" t="s">
        <v>189</v>
      </c>
      <c r="D430" s="74"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3"/>
      <c r="B431" s="93"/>
      <c r="C431" s="93"/>
      <c r="D431" s="85"/>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15">
      <c r="A432" s="69" t="s">
        <v>141</v>
      </c>
      <c r="B432" s="69"/>
      <c r="C432" s="69"/>
      <c r="D432" s="69" t="s">
        <v>140</v>
      </c>
      <c r="E432" s="69"/>
      <c r="F432" s="14"/>
      <c r="G432" s="69"/>
      <c r="H432" s="69"/>
      <c r="I432" s="106">
        <f>I433</f>
        <v>30536526</v>
      </c>
      <c r="J432" s="106">
        <f aca="true" t="shared" si="67" ref="J432:X432">J433</f>
        <v>0</v>
      </c>
      <c r="K432" s="106">
        <f t="shared" si="67"/>
        <v>0</v>
      </c>
      <c r="L432" s="106">
        <f t="shared" si="67"/>
        <v>0</v>
      </c>
      <c r="M432" s="106">
        <f t="shared" si="67"/>
        <v>0</v>
      </c>
      <c r="N432" s="106">
        <f t="shared" si="67"/>
        <v>6050577</v>
      </c>
      <c r="O432" s="106">
        <f t="shared" si="67"/>
        <v>3978242</v>
      </c>
      <c r="P432" s="106">
        <f t="shared" si="67"/>
        <v>5860601</v>
      </c>
      <c r="Q432" s="106">
        <f t="shared" si="67"/>
        <v>12264161</v>
      </c>
      <c r="R432" s="106">
        <f t="shared" si="67"/>
        <v>897945</v>
      </c>
      <c r="S432" s="106">
        <f t="shared" si="67"/>
        <v>1285000</v>
      </c>
      <c r="T432" s="106">
        <f t="shared" si="67"/>
        <v>58940</v>
      </c>
      <c r="U432" s="106">
        <f t="shared" si="67"/>
        <v>141060</v>
      </c>
      <c r="V432" s="106">
        <f t="shared" si="67"/>
        <v>0</v>
      </c>
      <c r="W432" s="6">
        <f t="shared" si="43"/>
        <v>0</v>
      </c>
      <c r="X432" s="106">
        <f t="shared" si="67"/>
        <v>25537424.990000002</v>
      </c>
      <c r="Y432" s="6">
        <f t="shared" si="44"/>
        <v>4799101.009999998</v>
      </c>
      <c r="Z432" s="6">
        <f t="shared" si="45"/>
        <v>4999101.009999998</v>
      </c>
    </row>
    <row r="433" spans="1:26" ht="15">
      <c r="A433" s="69" t="s">
        <v>142</v>
      </c>
      <c r="B433" s="69"/>
      <c r="C433" s="69"/>
      <c r="D433" s="69" t="s">
        <v>140</v>
      </c>
      <c r="E433" s="69"/>
      <c r="F433" s="14"/>
      <c r="G433" s="69"/>
      <c r="H433" s="69"/>
      <c r="I433" s="106">
        <f>I434+I440+I436+I437+I438+I439</f>
        <v>30536526</v>
      </c>
      <c r="J433" s="106">
        <f aca="true" t="shared" si="68" ref="J433:X433">J434+J440+J436+J437+J438+J439</f>
        <v>0</v>
      </c>
      <c r="K433" s="106">
        <f t="shared" si="68"/>
        <v>0</v>
      </c>
      <c r="L433" s="106">
        <f t="shared" si="68"/>
        <v>0</v>
      </c>
      <c r="M433" s="106">
        <f t="shared" si="68"/>
        <v>0</v>
      </c>
      <c r="N433" s="106">
        <f t="shared" si="68"/>
        <v>6050577</v>
      </c>
      <c r="O433" s="106">
        <f t="shared" si="68"/>
        <v>3978242</v>
      </c>
      <c r="P433" s="106">
        <f t="shared" si="68"/>
        <v>5860601</v>
      </c>
      <c r="Q433" s="106">
        <f t="shared" si="68"/>
        <v>12264161</v>
      </c>
      <c r="R433" s="106">
        <f t="shared" si="68"/>
        <v>897945</v>
      </c>
      <c r="S433" s="106">
        <f t="shared" si="68"/>
        <v>1285000</v>
      </c>
      <c r="T433" s="106">
        <f t="shared" si="68"/>
        <v>58940</v>
      </c>
      <c r="U433" s="106">
        <f t="shared" si="68"/>
        <v>141060</v>
      </c>
      <c r="V433" s="106">
        <f t="shared" si="68"/>
        <v>0</v>
      </c>
      <c r="W433" s="6">
        <f t="shared" si="43"/>
        <v>0</v>
      </c>
      <c r="X433" s="106">
        <f t="shared" si="68"/>
        <v>25537424.990000002</v>
      </c>
      <c r="Y433" s="6">
        <f t="shared" si="44"/>
        <v>4799101.009999998</v>
      </c>
      <c r="Z433" s="6">
        <f t="shared" si="45"/>
        <v>4999101.009999998</v>
      </c>
    </row>
    <row r="434" spans="1:26" ht="15">
      <c r="A434" s="73" t="s">
        <v>148</v>
      </c>
      <c r="B434" s="73" t="s">
        <v>147</v>
      </c>
      <c r="C434" s="73" t="s">
        <v>146</v>
      </c>
      <c r="D434" s="74"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3"/>
      <c r="B435" s="93"/>
      <c r="C435" s="93"/>
      <c r="D435" s="85"/>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2" t="s">
        <v>836</v>
      </c>
      <c r="E436" s="2" t="s">
        <v>836</v>
      </c>
      <c r="F436" s="14">
        <v>3240</v>
      </c>
      <c r="G436" s="2"/>
      <c r="H436" s="4"/>
      <c r="I436" s="101">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2" t="s">
        <v>837</v>
      </c>
      <c r="E437" s="2" t="s">
        <v>837</v>
      </c>
      <c r="F437" s="14">
        <v>3240</v>
      </c>
      <c r="G437" s="2"/>
      <c r="H437" s="4"/>
      <c r="I437" s="101">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2" t="s">
        <v>838</v>
      </c>
      <c r="E438" s="2" t="s">
        <v>838</v>
      </c>
      <c r="F438" s="14">
        <v>3240</v>
      </c>
      <c r="G438" s="2"/>
      <c r="H438" s="4"/>
      <c r="I438" s="101">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2" t="s">
        <v>839</v>
      </c>
      <c r="E439" s="2" t="s">
        <v>839</v>
      </c>
      <c r="F439" s="14">
        <v>3240</v>
      </c>
      <c r="G439" s="2"/>
      <c r="H439" s="4"/>
      <c r="I439" s="101">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15">
      <c r="A440" s="73" t="s">
        <v>151</v>
      </c>
      <c r="B440" s="73" t="s">
        <v>152</v>
      </c>
      <c r="C440" s="73" t="s">
        <v>150</v>
      </c>
      <c r="D440" s="74"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6"/>
      <c r="B441" s="76"/>
      <c r="C441" s="76"/>
      <c r="D441" s="77"/>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6"/>
      <c r="B442" s="76"/>
      <c r="C442" s="76"/>
      <c r="D442" s="77"/>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6"/>
      <c r="B443" s="76"/>
      <c r="C443" s="76"/>
      <c r="D443" s="77"/>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6"/>
      <c r="B444" s="76"/>
      <c r="C444" s="76"/>
      <c r="D444" s="77"/>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6"/>
      <c r="B445" s="76"/>
      <c r="C445" s="76"/>
      <c r="D445" s="77"/>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6"/>
      <c r="B446" s="76"/>
      <c r="C446" s="76"/>
      <c r="D446" s="77"/>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3"/>
      <c r="B447" s="93"/>
      <c r="C447" s="93"/>
      <c r="D447" s="85"/>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69" t="s">
        <v>75</v>
      </c>
      <c r="B448" s="70"/>
      <c r="C448" s="71"/>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v>
      </c>
      <c r="V448" s="12">
        <f t="shared" si="72"/>
        <v>35319043.129999995</v>
      </c>
      <c r="W448" s="6">
        <f t="shared" si="43"/>
        <v>0</v>
      </c>
      <c r="X448" s="12">
        <f t="shared" si="72"/>
        <v>60262889.87</v>
      </c>
      <c r="Y448" s="6">
        <f t="shared" si="71"/>
        <v>27843654.220000006</v>
      </c>
      <c r="Z448" s="6">
        <f t="shared" si="45"/>
        <v>125515746.53999999</v>
      </c>
    </row>
    <row r="449" spans="1:26" ht="30.75">
      <c r="A449" s="69" t="s">
        <v>76</v>
      </c>
      <c r="B449" s="70"/>
      <c r="C449" s="71"/>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7" t="s">
        <v>770</v>
      </c>
      <c r="B450" s="108" t="s">
        <v>147</v>
      </c>
      <c r="C450" s="108" t="s">
        <v>146</v>
      </c>
      <c r="D450" s="109"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0"/>
      <c r="B451" s="111"/>
      <c r="C451" s="111"/>
      <c r="D451" s="112"/>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4" t="s">
        <v>166</v>
      </c>
      <c r="B452" s="74">
        <v>6011</v>
      </c>
      <c r="C452" s="74" t="s">
        <v>165</v>
      </c>
      <c r="D452" s="74"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7"/>
      <c r="B453" s="77"/>
      <c r="C453" s="77"/>
      <c r="D453" s="77"/>
      <c r="E453" s="2" t="s">
        <v>595</v>
      </c>
      <c r="F453" s="14" t="s">
        <v>936</v>
      </c>
      <c r="G453" s="1"/>
      <c r="H453" s="23"/>
      <c r="I453" s="6">
        <v>10000000</v>
      </c>
      <c r="J453" s="28"/>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7"/>
      <c r="B454" s="77"/>
      <c r="C454" s="77"/>
      <c r="D454" s="77"/>
      <c r="E454" s="2" t="s">
        <v>599</v>
      </c>
      <c r="F454" s="14">
        <v>3131</v>
      </c>
      <c r="G454" s="1"/>
      <c r="H454" s="23"/>
      <c r="I454" s="6">
        <f>10000000-1124212.57-4503000-4372787.43</f>
        <v>0</v>
      </c>
      <c r="J454" s="28"/>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7"/>
      <c r="B455" s="77"/>
      <c r="C455" s="77"/>
      <c r="D455" s="77"/>
      <c r="E455" s="2" t="s">
        <v>671</v>
      </c>
      <c r="F455" s="14">
        <v>3131</v>
      </c>
      <c r="G455" s="1"/>
      <c r="H455" s="23"/>
      <c r="I455" s="6">
        <f>230000-21731</f>
        <v>208269</v>
      </c>
      <c r="J455" s="28"/>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7"/>
      <c r="B456" s="77"/>
      <c r="C456" s="77"/>
      <c r="D456" s="77"/>
      <c r="E456" s="2" t="s">
        <v>596</v>
      </c>
      <c r="F456" s="14">
        <v>3131</v>
      </c>
      <c r="G456" s="1"/>
      <c r="H456" s="23"/>
      <c r="I456" s="6">
        <f>350000-350000</f>
        <v>0</v>
      </c>
      <c r="J456" s="28"/>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7"/>
      <c r="B457" s="77"/>
      <c r="C457" s="77"/>
      <c r="D457" s="77"/>
      <c r="E457" s="2" t="s">
        <v>597</v>
      </c>
      <c r="F457" s="14">
        <v>3131</v>
      </c>
      <c r="G457" s="1"/>
      <c r="H457" s="23"/>
      <c r="I457" s="6">
        <f>350000-350000</f>
        <v>0</v>
      </c>
      <c r="J457" s="28"/>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7"/>
      <c r="B458" s="77"/>
      <c r="C458" s="77"/>
      <c r="D458" s="77"/>
      <c r="E458" s="2" t="s">
        <v>239</v>
      </c>
      <c r="F458" s="14">
        <v>3131</v>
      </c>
      <c r="G458" s="1"/>
      <c r="H458" s="23"/>
      <c r="I458" s="6">
        <v>800000</v>
      </c>
      <c r="J458" s="28"/>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7"/>
      <c r="B459" s="77"/>
      <c r="C459" s="77"/>
      <c r="D459" s="77"/>
      <c r="E459" s="2" t="s">
        <v>569</v>
      </c>
      <c r="F459" s="14">
        <v>3131</v>
      </c>
      <c r="G459" s="1"/>
      <c r="H459" s="23"/>
      <c r="I459" s="6">
        <f>450000-450000</f>
        <v>0</v>
      </c>
      <c r="J459" s="28"/>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7"/>
      <c r="B460" s="77"/>
      <c r="C460" s="77"/>
      <c r="D460" s="77"/>
      <c r="E460" s="2" t="s">
        <v>615</v>
      </c>
      <c r="F460" s="14">
        <v>3131</v>
      </c>
      <c r="G460" s="1"/>
      <c r="H460" s="23"/>
      <c r="I460" s="6">
        <f>441000-132000-848.05</f>
        <v>308151.95</v>
      </c>
      <c r="J460" s="28"/>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7"/>
      <c r="B461" s="77"/>
      <c r="C461" s="77"/>
      <c r="D461" s="77"/>
      <c r="E461" s="2" t="s">
        <v>598</v>
      </c>
      <c r="F461" s="14">
        <v>3131</v>
      </c>
      <c r="G461" s="1"/>
      <c r="H461" s="23"/>
      <c r="I461" s="6">
        <f>450000-150000-419.72</f>
        <v>299580.28</v>
      </c>
      <c r="J461" s="28"/>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7"/>
      <c r="B462" s="77"/>
      <c r="C462" s="77"/>
      <c r="D462" s="77"/>
      <c r="E462" s="2" t="s">
        <v>616</v>
      </c>
      <c r="F462" s="14">
        <v>3131</v>
      </c>
      <c r="G462" s="1"/>
      <c r="H462" s="23"/>
      <c r="I462" s="6">
        <f>3000-1283</f>
        <v>1717</v>
      </c>
      <c r="J462" s="28"/>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7"/>
      <c r="B463" s="77"/>
      <c r="C463" s="77"/>
      <c r="D463" s="77"/>
      <c r="E463" s="2" t="s">
        <v>617</v>
      </c>
      <c r="F463" s="14">
        <v>3131</v>
      </c>
      <c r="G463" s="1"/>
      <c r="H463" s="23"/>
      <c r="I463" s="6">
        <f>241750-27348.4</f>
        <v>214401.6</v>
      </c>
      <c r="J463" s="28"/>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7"/>
      <c r="B464" s="77"/>
      <c r="C464" s="77"/>
      <c r="D464" s="77"/>
      <c r="E464" s="2" t="s">
        <v>167</v>
      </c>
      <c r="F464" s="14">
        <v>3131</v>
      </c>
      <c r="G464" s="1"/>
      <c r="H464" s="23"/>
      <c r="I464" s="6">
        <f>5000-4460</f>
        <v>540</v>
      </c>
      <c r="J464" s="28"/>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7"/>
      <c r="B465" s="77"/>
      <c r="C465" s="77"/>
      <c r="D465" s="77"/>
      <c r="E465" s="2" t="s">
        <v>161</v>
      </c>
      <c r="F465" s="14">
        <v>3131</v>
      </c>
      <c r="G465" s="1"/>
      <c r="H465" s="23"/>
      <c r="I465" s="6">
        <f>123000-6334</f>
        <v>116666</v>
      </c>
      <c r="J465" s="28"/>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7"/>
      <c r="B466" s="77"/>
      <c r="C466" s="77"/>
      <c r="D466" s="77"/>
      <c r="E466" s="2" t="s">
        <v>162</v>
      </c>
      <c r="F466" s="14">
        <v>3131</v>
      </c>
      <c r="G466" s="1"/>
      <c r="H466" s="23"/>
      <c r="I466" s="6">
        <f>123000-6334</f>
        <v>116666</v>
      </c>
      <c r="J466" s="28"/>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7"/>
      <c r="B467" s="77"/>
      <c r="C467" s="77"/>
      <c r="D467" s="77"/>
      <c r="E467" s="2" t="s">
        <v>153</v>
      </c>
      <c r="F467" s="14">
        <v>3131</v>
      </c>
      <c r="G467" s="1"/>
      <c r="H467" s="23"/>
      <c r="I467" s="6">
        <v>162750</v>
      </c>
      <c r="J467" s="28"/>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7"/>
      <c r="B468" s="77"/>
      <c r="C468" s="77"/>
      <c r="D468" s="77"/>
      <c r="E468" s="2" t="s">
        <v>675</v>
      </c>
      <c r="F468" s="14">
        <v>3131</v>
      </c>
      <c r="G468" s="1"/>
      <c r="H468" s="23"/>
      <c r="I468" s="6">
        <v>351750</v>
      </c>
      <c r="J468" s="28"/>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7"/>
      <c r="B469" s="77"/>
      <c r="C469" s="77"/>
      <c r="D469" s="77"/>
      <c r="E469" s="2" t="s">
        <v>154</v>
      </c>
      <c r="F469" s="14">
        <v>3131</v>
      </c>
      <c r="G469" s="1"/>
      <c r="H469" s="23"/>
      <c r="I469" s="6">
        <v>4000</v>
      </c>
      <c r="J469" s="28"/>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7"/>
      <c r="B470" s="77"/>
      <c r="C470" s="77"/>
      <c r="D470" s="77"/>
      <c r="E470" s="2" t="s">
        <v>240</v>
      </c>
      <c r="F470" s="14">
        <v>3131</v>
      </c>
      <c r="G470" s="1"/>
      <c r="H470" s="23"/>
      <c r="I470" s="6">
        <v>136500</v>
      </c>
      <c r="J470" s="28"/>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7"/>
      <c r="B471" s="77"/>
      <c r="C471" s="77"/>
      <c r="D471" s="77"/>
      <c r="E471" s="2" t="s">
        <v>241</v>
      </c>
      <c r="F471" s="14">
        <v>3131</v>
      </c>
      <c r="G471" s="1"/>
      <c r="H471" s="23"/>
      <c r="I471" s="6">
        <v>105000</v>
      </c>
      <c r="J471" s="28"/>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7"/>
      <c r="B472" s="77"/>
      <c r="C472" s="77"/>
      <c r="D472" s="77"/>
      <c r="E472" s="2" t="s">
        <v>600</v>
      </c>
      <c r="F472" s="14">
        <v>3131</v>
      </c>
      <c r="G472" s="1"/>
      <c r="H472" s="23"/>
      <c r="I472" s="6">
        <v>3000</v>
      </c>
      <c r="J472" s="28"/>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7"/>
      <c r="B473" s="77"/>
      <c r="C473" s="77"/>
      <c r="D473" s="77"/>
      <c r="E473" s="2" t="s">
        <v>601</v>
      </c>
      <c r="F473" s="14">
        <v>3131</v>
      </c>
      <c r="G473" s="1"/>
      <c r="H473" s="23"/>
      <c r="I473" s="6">
        <v>3000</v>
      </c>
      <c r="J473" s="28"/>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7"/>
      <c r="B474" s="77"/>
      <c r="C474" s="77"/>
      <c r="D474" s="77"/>
      <c r="E474" s="2" t="s">
        <v>602</v>
      </c>
      <c r="F474" s="14">
        <v>3131</v>
      </c>
      <c r="G474" s="1"/>
      <c r="H474" s="23"/>
      <c r="I474" s="6">
        <f>2000-900</f>
        <v>1100</v>
      </c>
      <c r="J474" s="28"/>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7"/>
      <c r="B475" s="77"/>
      <c r="C475" s="77"/>
      <c r="D475" s="77"/>
      <c r="E475" s="2" t="s">
        <v>603</v>
      </c>
      <c r="F475" s="14">
        <v>3131</v>
      </c>
      <c r="G475" s="1"/>
      <c r="H475" s="23"/>
      <c r="I475" s="6">
        <f>400000-106849.24</f>
        <v>293150.76</v>
      </c>
      <c r="J475" s="28"/>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7"/>
      <c r="B476" s="77"/>
      <c r="C476" s="77"/>
      <c r="D476" s="77"/>
      <c r="E476" s="2" t="s">
        <v>155</v>
      </c>
      <c r="F476" s="14">
        <v>3131</v>
      </c>
      <c r="G476" s="1"/>
      <c r="H476" s="23"/>
      <c r="I476" s="6">
        <v>50000</v>
      </c>
      <c r="J476" s="28"/>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7"/>
      <c r="B477" s="77"/>
      <c r="C477" s="77"/>
      <c r="D477" s="77"/>
      <c r="E477" s="2" t="s">
        <v>604</v>
      </c>
      <c r="F477" s="14">
        <v>3131</v>
      </c>
      <c r="G477" s="1"/>
      <c r="H477" s="23"/>
      <c r="I477" s="6">
        <f>16000-9477.03</f>
        <v>6522.969999999999</v>
      </c>
      <c r="J477" s="28"/>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7"/>
      <c r="B478" s="77"/>
      <c r="C478" s="77"/>
      <c r="D478" s="77"/>
      <c r="E478" s="2" t="s">
        <v>605</v>
      </c>
      <c r="F478" s="14">
        <v>3131</v>
      </c>
      <c r="G478" s="1"/>
      <c r="H478" s="23"/>
      <c r="I478" s="6">
        <f>16000-9477.03</f>
        <v>6522.969999999999</v>
      </c>
      <c r="J478" s="28"/>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7"/>
      <c r="B479" s="77"/>
      <c r="C479" s="77"/>
      <c r="D479" s="77"/>
      <c r="E479" s="2" t="s">
        <v>606</v>
      </c>
      <c r="F479" s="14">
        <v>3131</v>
      </c>
      <c r="G479" s="1"/>
      <c r="H479" s="23"/>
      <c r="I479" s="6">
        <f>16000-7491.96</f>
        <v>8508.04</v>
      </c>
      <c r="J479" s="28"/>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7"/>
      <c r="B480" s="77"/>
      <c r="C480" s="77"/>
      <c r="D480" s="77"/>
      <c r="E480" s="2" t="s">
        <v>607</v>
      </c>
      <c r="F480" s="14">
        <v>3131</v>
      </c>
      <c r="G480" s="1"/>
      <c r="H480" s="23"/>
      <c r="I480" s="6">
        <f>16000-7491.96</f>
        <v>8508.04</v>
      </c>
      <c r="J480" s="28"/>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7"/>
      <c r="B481" s="77"/>
      <c r="C481" s="77"/>
      <c r="D481" s="77"/>
      <c r="E481" s="2" t="s">
        <v>608</v>
      </c>
      <c r="F481" s="14">
        <v>3131</v>
      </c>
      <c r="G481" s="1"/>
      <c r="H481" s="23"/>
      <c r="I481" s="6">
        <f>52500-26613.15</f>
        <v>25886.85</v>
      </c>
      <c r="J481" s="28"/>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7"/>
      <c r="B482" s="77"/>
      <c r="C482" s="77"/>
      <c r="D482" s="77"/>
      <c r="E482" s="2" t="s">
        <v>609</v>
      </c>
      <c r="F482" s="14">
        <v>3131</v>
      </c>
      <c r="G482" s="1"/>
      <c r="H482" s="23"/>
      <c r="I482" s="6">
        <f>16000-9454.75</f>
        <v>6545.25</v>
      </c>
      <c r="J482" s="28"/>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7"/>
      <c r="B483" s="77"/>
      <c r="C483" s="77"/>
      <c r="D483" s="77"/>
      <c r="E483" s="2" t="s">
        <v>610</v>
      </c>
      <c r="F483" s="14">
        <v>3131</v>
      </c>
      <c r="G483" s="1"/>
      <c r="H483" s="23"/>
      <c r="I483" s="6">
        <f>63000-3000</f>
        <v>60000</v>
      </c>
      <c r="J483" s="28"/>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7"/>
      <c r="B484" s="77"/>
      <c r="C484" s="77"/>
      <c r="D484" s="77"/>
      <c r="E484" s="2" t="s">
        <v>611</v>
      </c>
      <c r="F484" s="14">
        <v>3131</v>
      </c>
      <c r="G484" s="1"/>
      <c r="H484" s="23"/>
      <c r="I484" s="6">
        <f>65100-1100</f>
        <v>64000</v>
      </c>
      <c r="J484" s="28"/>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7"/>
      <c r="B485" s="77"/>
      <c r="C485" s="77"/>
      <c r="D485" s="77"/>
      <c r="E485" s="2" t="s">
        <v>612</v>
      </c>
      <c r="F485" s="14">
        <v>3131</v>
      </c>
      <c r="G485" s="1"/>
      <c r="H485" s="23"/>
      <c r="I485" s="6">
        <v>5000</v>
      </c>
      <c r="J485" s="28"/>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7"/>
      <c r="B486" s="77"/>
      <c r="C486" s="77"/>
      <c r="D486" s="77"/>
      <c r="E486" s="2" t="s">
        <v>613</v>
      </c>
      <c r="F486" s="14">
        <v>3131</v>
      </c>
      <c r="G486" s="1"/>
      <c r="H486" s="23"/>
      <c r="I486" s="6">
        <f>63000-3000</f>
        <v>60000</v>
      </c>
      <c r="J486" s="28"/>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7"/>
      <c r="B487" s="77"/>
      <c r="C487" s="77"/>
      <c r="D487" s="77"/>
      <c r="E487" s="2" t="s">
        <v>614</v>
      </c>
      <c r="F487" s="14">
        <v>3131</v>
      </c>
      <c r="G487" s="1"/>
      <c r="H487" s="23"/>
      <c r="I487" s="6">
        <f>63000-1000</f>
        <v>62000</v>
      </c>
      <c r="J487" s="28"/>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7"/>
      <c r="B488" s="77"/>
      <c r="C488" s="77"/>
      <c r="D488" s="77"/>
      <c r="E488" s="2" t="s">
        <v>156</v>
      </c>
      <c r="F488" s="14">
        <v>3131</v>
      </c>
      <c r="G488" s="1"/>
      <c r="H488" s="23"/>
      <c r="I488" s="6">
        <f>66150-4665.37</f>
        <v>61484.63</v>
      </c>
      <c r="J488" s="28"/>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7"/>
      <c r="B489" s="77"/>
      <c r="C489" s="77"/>
      <c r="D489" s="77"/>
      <c r="E489" s="2" t="s">
        <v>157</v>
      </c>
      <c r="F489" s="14">
        <v>3131</v>
      </c>
      <c r="G489" s="1"/>
      <c r="H489" s="23"/>
      <c r="I489" s="6">
        <f>66150-4652.48</f>
        <v>61497.520000000004</v>
      </c>
      <c r="J489" s="28"/>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7"/>
      <c r="B490" s="77"/>
      <c r="C490" s="77"/>
      <c r="D490" s="77"/>
      <c r="E490" s="2" t="s">
        <v>158</v>
      </c>
      <c r="F490" s="14">
        <v>3131</v>
      </c>
      <c r="G490" s="1"/>
      <c r="H490" s="23"/>
      <c r="I490" s="6">
        <v>65099.99999999999</v>
      </c>
      <c r="J490" s="28"/>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7"/>
      <c r="B491" s="77"/>
      <c r="C491" s="77"/>
      <c r="D491" s="77"/>
      <c r="E491" s="2" t="s">
        <v>159</v>
      </c>
      <c r="F491" s="14">
        <v>3131</v>
      </c>
      <c r="G491" s="1"/>
      <c r="H491" s="23"/>
      <c r="I491" s="6">
        <v>110250</v>
      </c>
      <c r="J491" s="28"/>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7"/>
      <c r="B492" s="77"/>
      <c r="C492" s="77"/>
      <c r="D492" s="77"/>
      <c r="E492" s="2" t="s">
        <v>160</v>
      </c>
      <c r="F492" s="14">
        <v>3131</v>
      </c>
      <c r="G492" s="1"/>
      <c r="H492" s="23"/>
      <c r="I492" s="6">
        <v>37800</v>
      </c>
      <c r="J492" s="28"/>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5"/>
      <c r="B493" s="85"/>
      <c r="C493" s="85"/>
      <c r="D493" s="85"/>
      <c r="E493" s="2" t="s">
        <v>163</v>
      </c>
      <c r="F493" s="14">
        <v>3131</v>
      </c>
      <c r="G493" s="1"/>
      <c r="H493" s="23"/>
      <c r="I493" s="6">
        <v>25000</v>
      </c>
      <c r="J493" s="28"/>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15">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6" ht="62.25">
      <c r="A495" s="35"/>
      <c r="B495" s="35"/>
      <c r="C495" s="39"/>
      <c r="D495" s="35"/>
      <c r="E495" s="2" t="s">
        <v>618</v>
      </c>
      <c r="F495" s="14">
        <v>3131</v>
      </c>
      <c r="G495" s="1"/>
      <c r="H495" s="23"/>
      <c r="I495" s="6">
        <f>10000000-525736-850000-3103000-4920000</f>
        <v>601264</v>
      </c>
      <c r="J495" s="28"/>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row>
    <row r="496" spans="1:26" ht="15">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15">
      <c r="A497" s="35"/>
      <c r="B497" s="35"/>
      <c r="C497" s="39"/>
      <c r="D497" s="35"/>
      <c r="E497" s="2" t="s">
        <v>676</v>
      </c>
      <c r="F497" s="14">
        <v>3132</v>
      </c>
      <c r="G497" s="1"/>
      <c r="H497" s="23"/>
      <c r="I497" s="6">
        <v>700000</v>
      </c>
      <c r="J497" s="28"/>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15">
      <c r="A498" s="74">
        <v>1216090</v>
      </c>
      <c r="B498" s="74">
        <v>6090</v>
      </c>
      <c r="C498" s="73" t="s">
        <v>619</v>
      </c>
      <c r="D498" s="74"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15">
      <c r="A499" s="85"/>
      <c r="B499" s="85"/>
      <c r="C499" s="93"/>
      <c r="D499" s="85"/>
      <c r="E499" s="2" t="s">
        <v>286</v>
      </c>
      <c r="F499" s="14">
        <v>3110</v>
      </c>
      <c r="G499" s="1"/>
      <c r="H499" s="23"/>
      <c r="I499" s="6">
        <f>50000+140000</f>
        <v>190000</v>
      </c>
      <c r="J499" s="28"/>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15">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250000-250000-9200</f>
        <v>-9200</v>
      </c>
      <c r="T501" s="6">
        <f>200039+9200</f>
        <v>209239</v>
      </c>
      <c r="U501" s="6">
        <f>49961</f>
        <v>49961</v>
      </c>
      <c r="V501" s="6"/>
      <c r="W501" s="6">
        <f t="shared" si="76"/>
        <v>0</v>
      </c>
      <c r="X501" s="6"/>
      <c r="Y501" s="6">
        <f t="shared" si="71"/>
        <v>34.38000000000466</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-95000-10000</f>
        <v>-105000</v>
      </c>
      <c r="T502" s="6">
        <f>10000</f>
        <v>10000</v>
      </c>
      <c r="U502" s="6"/>
      <c r="V502" s="6">
        <f>95000</f>
        <v>95000</v>
      </c>
      <c r="W502" s="6">
        <f t="shared" si="76"/>
        <v>0</v>
      </c>
      <c r="X502" s="6"/>
      <c r="Y502" s="6">
        <f t="shared" si="71"/>
        <v>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157000+19200</f>
        <v>176200</v>
      </c>
      <c r="T505" s="6">
        <f>43000+500000-19200</f>
        <v>523800</v>
      </c>
      <c r="U505" s="6"/>
      <c r="V505" s="6">
        <f>1415756.87-1300000</f>
        <v>115756.87000000011</v>
      </c>
      <c r="W505" s="6">
        <f>I505-K505-L505-M505-N505-O505-P505-Q505-R505-S505-T505-U505-V505</f>
        <v>0</v>
      </c>
      <c r="X505" s="6"/>
      <c r="Y505" s="6">
        <f t="shared" si="71"/>
        <v>176200</v>
      </c>
      <c r="Z505" s="6">
        <f>I505-X505</f>
        <v>815756.8700000001</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15">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15"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3"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3"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15">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15">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6"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4">
        <v>1217363</v>
      </c>
      <c r="B528" s="74" t="s">
        <v>107</v>
      </c>
      <c r="C528" s="74" t="s">
        <v>40</v>
      </c>
      <c r="D528" s="74"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7"/>
      <c r="B529" s="77"/>
      <c r="C529" s="77"/>
      <c r="D529" s="77"/>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7"/>
      <c r="B530" s="77"/>
      <c r="C530" s="77"/>
      <c r="D530" s="77"/>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7"/>
      <c r="B531" s="77"/>
      <c r="C531" s="77"/>
      <c r="D531" s="77"/>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7"/>
      <c r="B532" s="77"/>
      <c r="C532" s="77"/>
      <c r="D532" s="77"/>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7"/>
      <c r="B533" s="77"/>
      <c r="C533" s="77"/>
      <c r="D533" s="77"/>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7"/>
      <c r="B534" s="77"/>
      <c r="C534" s="77"/>
      <c r="D534" s="77"/>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7"/>
      <c r="B535" s="77"/>
      <c r="C535" s="77"/>
      <c r="D535" s="77"/>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5"/>
      <c r="B536" s="85"/>
      <c r="C536" s="85"/>
      <c r="D536" s="85"/>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15">
      <c r="A537" s="73" t="s">
        <v>776</v>
      </c>
      <c r="B537" s="73" t="s">
        <v>777</v>
      </c>
      <c r="C537" s="73" t="s">
        <v>778</v>
      </c>
      <c r="D537" s="74"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15">
      <c r="A538" s="93"/>
      <c r="B538" s="93"/>
      <c r="C538" s="93"/>
      <c r="D538" s="85"/>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6"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v>
      </c>
      <c r="V539" s="16">
        <f t="shared" si="87"/>
        <v>7051072.26</v>
      </c>
      <c r="W539" s="6">
        <f t="shared" si="83"/>
        <v>0</v>
      </c>
      <c r="X539" s="16">
        <f t="shared" si="87"/>
        <v>17592572.88</v>
      </c>
      <c r="Y539" s="6">
        <f t="shared" si="82"/>
        <v>6262723.629999999</v>
      </c>
      <c r="Z539" s="6">
        <f t="shared" si="85"/>
        <v>25643132.079999994</v>
      </c>
    </row>
    <row r="540" spans="1:26" ht="62.25">
      <c r="A540" s="41"/>
      <c r="B540" s="41"/>
      <c r="C540" s="41"/>
      <c r="D540" s="38"/>
      <c r="E540" s="5" t="s">
        <v>895</v>
      </c>
      <c r="F540" s="14">
        <v>3132</v>
      </c>
      <c r="G540" s="13"/>
      <c r="H540" s="15"/>
      <c r="I540" s="7">
        <f>3655000</f>
        <v>3655000</v>
      </c>
      <c r="J540" s="29"/>
      <c r="K540" s="7"/>
      <c r="L540" s="7"/>
      <c r="M540" s="7"/>
      <c r="N540" s="7"/>
      <c r="O540" s="7"/>
      <c r="P540" s="7"/>
      <c r="Q540" s="7"/>
      <c r="R540" s="7"/>
      <c r="S540" s="7">
        <f>927500-667796.74</f>
        <v>259703.26</v>
      </c>
      <c r="T540" s="7">
        <f>100000+297800</f>
        <v>397800</v>
      </c>
      <c r="U540" s="7">
        <f>1259250+274996.74</f>
        <v>1534246.74</v>
      </c>
      <c r="V540" s="7">
        <f>1368250+95000</f>
        <v>1463250</v>
      </c>
      <c r="W540" s="6">
        <f t="shared" si="83"/>
        <v>0</v>
      </c>
      <c r="X540" s="16"/>
      <c r="Y540" s="6">
        <f>K540+L540+M540+N540+O540+P540+Q540+R540+S540-X540</f>
        <v>259703.26</v>
      </c>
      <c r="Z540" s="6">
        <f>I540-X540</f>
        <v>3655000</v>
      </c>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175000+245000</f>
        <v>420000</v>
      </c>
      <c r="T542" s="7">
        <f>150000-150000</f>
        <v>0</v>
      </c>
      <c r="U542" s="7"/>
      <c r="V542" s="7">
        <f>95000-95000</f>
        <v>0</v>
      </c>
      <c r="W542" s="6">
        <f t="shared" si="83"/>
        <v>0</v>
      </c>
      <c r="X542" s="6">
        <f>46000</f>
        <v>46000</v>
      </c>
      <c r="Y542" s="6">
        <f t="shared" si="82"/>
        <v>674000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f>147800</f>
        <v>147800</v>
      </c>
      <c r="T559" s="7">
        <f>147800-147800</f>
        <v>0</v>
      </c>
      <c r="U559" s="7">
        <f>14000</f>
        <v>14000</v>
      </c>
      <c r="V559" s="7"/>
      <c r="W559" s="6">
        <f t="shared" si="83"/>
        <v>0</v>
      </c>
      <c r="X559" s="6">
        <f>16200+122000</f>
        <v>138200</v>
      </c>
      <c r="Y559" s="6">
        <f t="shared" si="82"/>
        <v>147800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194424.26+274996.74</f>
        <v>469421</v>
      </c>
      <c r="T574" s="7">
        <f>200000-200000</f>
        <v>0</v>
      </c>
      <c r="U574" s="7">
        <f>274996.74-274996.74</f>
        <v>0</v>
      </c>
      <c r="V574" s="7"/>
      <c r="W574" s="6">
        <f t="shared" si="83"/>
        <v>0</v>
      </c>
      <c r="X574" s="6">
        <f>88000+602646.39+309280.56</f>
        <v>999926.95</v>
      </c>
      <c r="Y574" s="6">
        <f t="shared" si="82"/>
        <v>469494.05000000005</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4"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4"/>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4"/>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4"/>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4"/>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4"/>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4"/>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4"/>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4"/>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15">
      <c r="A592" s="36"/>
      <c r="B592" s="36"/>
      <c r="C592" s="36"/>
      <c r="D592" s="94"/>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15">
      <c r="A593" s="36"/>
      <c r="B593" s="36"/>
      <c r="C593" s="36"/>
      <c r="D593" s="94"/>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4"/>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15">
      <c r="A595" s="36"/>
      <c r="B595" s="36"/>
      <c r="C595" s="36"/>
      <c r="D595" s="94"/>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4"/>
      <c r="E596" s="98"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15">
      <c r="A597" s="36"/>
      <c r="B597" s="36"/>
      <c r="C597" s="36"/>
      <c r="D597" s="94"/>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4"/>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4"/>
      <c r="E599" s="5" t="s">
        <v>803</v>
      </c>
      <c r="F599" s="14">
        <v>3210</v>
      </c>
      <c r="G599" s="15"/>
      <c r="H599" s="15"/>
      <c r="I599" s="29">
        <v>95000</v>
      </c>
      <c r="J599" s="19"/>
      <c r="K599" s="29"/>
      <c r="L599" s="29"/>
      <c r="M599" s="29"/>
      <c r="N599" s="29"/>
      <c r="O599" s="29"/>
      <c r="P599" s="29"/>
      <c r="Q599" s="29"/>
      <c r="R599" s="29"/>
      <c r="S599" s="29">
        <f>95000</f>
        <v>95000</v>
      </c>
      <c r="T599" s="29"/>
      <c r="U599" s="29"/>
      <c r="V599" s="29"/>
      <c r="W599" s="6">
        <f t="shared" si="83"/>
        <v>0</v>
      </c>
      <c r="X599" s="28"/>
      <c r="Y599" s="6">
        <f t="shared" si="88"/>
        <v>95000</v>
      </c>
      <c r="Z599" s="6">
        <f t="shared" si="85"/>
        <v>95000</v>
      </c>
    </row>
    <row r="600" spans="1:26" ht="30.75">
      <c r="A600" s="36"/>
      <c r="B600" s="36"/>
      <c r="C600" s="36"/>
      <c r="D600" s="94"/>
      <c r="E600" s="3" t="s">
        <v>289</v>
      </c>
      <c r="F600" s="14"/>
      <c r="G600" s="114"/>
      <c r="H600" s="114"/>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15">
      <c r="A601" s="36"/>
      <c r="B601" s="36"/>
      <c r="C601" s="36"/>
      <c r="D601" s="94"/>
      <c r="E601" s="2" t="s">
        <v>288</v>
      </c>
      <c r="F601" s="14">
        <v>3210</v>
      </c>
      <c r="G601" s="115"/>
      <c r="H601" s="115"/>
      <c r="I601" s="29">
        <v>480000</v>
      </c>
      <c r="J601" s="29"/>
      <c r="K601" s="29"/>
      <c r="L601" s="29"/>
      <c r="M601" s="29"/>
      <c r="N601" s="29">
        <v>480000</v>
      </c>
      <c r="O601" s="29"/>
      <c r="P601" s="29"/>
      <c r="Q601" s="29"/>
      <c r="R601" s="29">
        <f>-5100</f>
        <v>-5100</v>
      </c>
      <c r="S601" s="29"/>
      <c r="T601" s="29"/>
      <c r="U601" s="29">
        <f>5100</f>
        <v>5100</v>
      </c>
      <c r="V601" s="7"/>
      <c r="W601" s="6">
        <f t="shared" si="83"/>
        <v>0</v>
      </c>
      <c r="X601" s="7">
        <f>474900</f>
        <v>474900</v>
      </c>
      <c r="Y601" s="6">
        <f t="shared" si="88"/>
        <v>0</v>
      </c>
      <c r="Z601" s="6">
        <f>I601-X601</f>
        <v>5100</v>
      </c>
    </row>
    <row r="602" spans="1:26" ht="15">
      <c r="A602" s="36"/>
      <c r="B602" s="36"/>
      <c r="C602" s="36"/>
      <c r="D602" s="94"/>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15">
      <c r="A603" s="36"/>
      <c r="B603" s="36"/>
      <c r="C603" s="36"/>
      <c r="D603" s="94"/>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4"/>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4"/>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15">
      <c r="A606" s="36"/>
      <c r="B606" s="36"/>
      <c r="C606" s="36"/>
      <c r="D606" s="94"/>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15">
      <c r="A607" s="36"/>
      <c r="B607" s="36"/>
      <c r="C607" s="36"/>
      <c r="D607" s="94"/>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15">
      <c r="A608" s="36"/>
      <c r="B608" s="36"/>
      <c r="C608" s="36"/>
      <c r="D608" s="94"/>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15" hidden="1">
      <c r="A609" s="36"/>
      <c r="B609" s="36"/>
      <c r="C609" s="36"/>
      <c r="D609" s="94"/>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4"/>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15">
      <c r="A611" s="36"/>
      <c r="B611" s="36"/>
      <c r="C611" s="36"/>
      <c r="D611" s="94"/>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15">
      <c r="A612" s="36"/>
      <c r="B612" s="36"/>
      <c r="C612" s="36"/>
      <c r="D612" s="94"/>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15">
      <c r="A613" s="36"/>
      <c r="B613" s="36"/>
      <c r="C613" s="36"/>
      <c r="D613" s="94"/>
      <c r="E613" s="5" t="s">
        <v>901</v>
      </c>
      <c r="F613" s="14">
        <v>3210</v>
      </c>
      <c r="G613" s="13"/>
      <c r="H613" s="15"/>
      <c r="I613" s="7">
        <v>125000</v>
      </c>
      <c r="J613" s="19"/>
      <c r="K613" s="7"/>
      <c r="L613" s="7"/>
      <c r="M613" s="7"/>
      <c r="N613" s="7"/>
      <c r="O613" s="7"/>
      <c r="P613" s="7"/>
      <c r="Q613" s="7"/>
      <c r="R613" s="7"/>
      <c r="S613" s="7">
        <f>65690.41</f>
        <v>65690.41</v>
      </c>
      <c r="T613" s="7">
        <f>58913.12</f>
        <v>58913.12</v>
      </c>
      <c r="U613" s="7">
        <v>396.47</v>
      </c>
      <c r="V613" s="7"/>
      <c r="W613" s="6">
        <f>I613-K613-L613-M613-N613-O613-P613-Q613-R613-S613-T613-U613-V613</f>
        <v>-6.139089236967266E-12</v>
      </c>
      <c r="X613" s="6"/>
      <c r="Y613" s="6">
        <f>K613+L613+M613+N613+O613+P613+Q613+R613+S613-X613</f>
        <v>65690.41</v>
      </c>
      <c r="Z613" s="6">
        <f>I613-X613</f>
        <v>125000</v>
      </c>
    </row>
    <row r="614" spans="1:26" ht="15">
      <c r="A614" s="36"/>
      <c r="B614" s="36"/>
      <c r="C614" s="36"/>
      <c r="D614" s="94"/>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15">
      <c r="A615" s="36"/>
      <c r="B615" s="36"/>
      <c r="C615" s="36"/>
      <c r="D615" s="94"/>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15" hidden="1">
      <c r="A616" s="36"/>
      <c r="B616" s="36"/>
      <c r="C616" s="36"/>
      <c r="D616" s="94"/>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15">
      <c r="A617" s="36"/>
      <c r="B617" s="36"/>
      <c r="C617" s="36"/>
      <c r="D617" s="94"/>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15">
      <c r="A618" s="36"/>
      <c r="B618" s="36"/>
      <c r="C618" s="36"/>
      <c r="D618" s="94"/>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4"/>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15">
      <c r="A620" s="36"/>
      <c r="B620" s="36"/>
      <c r="C620" s="36"/>
      <c r="D620" s="94"/>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4"/>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4"/>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15">
      <c r="A623" s="36"/>
      <c r="B623" s="36"/>
      <c r="C623" s="36"/>
      <c r="D623" s="94"/>
      <c r="E623" s="5" t="s">
        <v>576</v>
      </c>
      <c r="F623" s="14">
        <v>3210</v>
      </c>
      <c r="G623" s="13"/>
      <c r="H623" s="15"/>
      <c r="I623" s="7">
        <v>500000</v>
      </c>
      <c r="J623" s="19"/>
      <c r="K623" s="7"/>
      <c r="L623" s="7"/>
      <c r="M623" s="7"/>
      <c r="N623" s="7"/>
      <c r="O623" s="7"/>
      <c r="P623" s="7"/>
      <c r="Q623" s="7"/>
      <c r="R623" s="7">
        <v>50000</v>
      </c>
      <c r="S623" s="7">
        <v>250000</v>
      </c>
      <c r="T623" s="7">
        <v>100000</v>
      </c>
      <c r="U623" s="7">
        <v>100000</v>
      </c>
      <c r="V623" s="7"/>
      <c r="W623" s="6">
        <f t="shared" si="95"/>
        <v>0</v>
      </c>
      <c r="X623" s="6"/>
      <c r="Y623" s="6">
        <f t="shared" si="88"/>
        <v>300000</v>
      </c>
      <c r="Z623" s="6">
        <f t="shared" si="96"/>
        <v>500000</v>
      </c>
    </row>
    <row r="624" spans="1:26" ht="15">
      <c r="A624" s="36"/>
      <c r="B624" s="36"/>
      <c r="C624" s="36"/>
      <c r="D624" s="94"/>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4"/>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15">
      <c r="A626" s="36"/>
      <c r="B626" s="36"/>
      <c r="C626" s="36"/>
      <c r="D626" s="94"/>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4"/>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4"/>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4"/>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15">
      <c r="A630" s="36"/>
      <c r="B630" s="36"/>
      <c r="C630" s="36"/>
      <c r="D630" s="94"/>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4"/>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4"/>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4"/>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4"/>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15">
      <c r="A635" s="36"/>
      <c r="B635" s="36"/>
      <c r="C635" s="36"/>
      <c r="D635" s="94"/>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15" hidden="1">
      <c r="A636" s="36"/>
      <c r="B636" s="36"/>
      <c r="C636" s="36"/>
      <c r="D636" s="94"/>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4"/>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4"/>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4"/>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15">
      <c r="A640" s="36"/>
      <c r="B640" s="36"/>
      <c r="C640" s="36"/>
      <c r="D640" s="94"/>
      <c r="E640" s="5" t="s">
        <v>691</v>
      </c>
      <c r="F640" s="14">
        <v>3210</v>
      </c>
      <c r="G640" s="13"/>
      <c r="H640" s="15"/>
      <c r="I640" s="7">
        <v>198701.8</v>
      </c>
      <c r="J640" s="19"/>
      <c r="K640" s="7"/>
      <c r="L640" s="7"/>
      <c r="M640" s="7"/>
      <c r="N640" s="7"/>
      <c r="O640" s="7"/>
      <c r="P640" s="7"/>
      <c r="Q640" s="7"/>
      <c r="R640" s="7">
        <v>198701.8</v>
      </c>
      <c r="S640" s="7"/>
      <c r="T640" s="7"/>
      <c r="U640" s="7"/>
      <c r="V640" s="7"/>
      <c r="W640" s="6">
        <f t="shared" si="95"/>
        <v>0</v>
      </c>
      <c r="X640" s="6"/>
      <c r="Y640" s="6">
        <f t="shared" si="88"/>
        <v>198701.8</v>
      </c>
      <c r="Z640" s="6">
        <f t="shared" si="96"/>
        <v>198701.8</v>
      </c>
    </row>
    <row r="641" spans="1:26" ht="30.75">
      <c r="A641" s="36"/>
      <c r="B641" s="36"/>
      <c r="C641" s="36"/>
      <c r="D641" s="94"/>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4"/>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15">
      <c r="A643" s="36"/>
      <c r="B643" s="36"/>
      <c r="C643" s="36"/>
      <c r="D643" s="94"/>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4"/>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4"/>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15">
      <c r="A646" s="36"/>
      <c r="B646" s="36"/>
      <c r="C646" s="36"/>
      <c r="D646" s="94"/>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4"/>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c r="T647" s="7"/>
      <c r="U647" s="7"/>
      <c r="V647" s="7">
        <f>377490.23</f>
        <v>377490.23</v>
      </c>
      <c r="W647" s="6">
        <f t="shared" si="95"/>
        <v>0</v>
      </c>
      <c r="X647" s="6"/>
      <c r="Y647" s="6">
        <f t="shared" si="97"/>
        <v>451921.37</v>
      </c>
      <c r="Z647" s="6">
        <f t="shared" si="96"/>
        <v>829411.6</v>
      </c>
    </row>
    <row r="648" spans="1:26" ht="30.75">
      <c r="A648" s="36"/>
      <c r="B648" s="36"/>
      <c r="C648" s="36"/>
      <c r="D648" s="94"/>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4"/>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4"/>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15">
      <c r="A651" s="36"/>
      <c r="B651" s="36"/>
      <c r="C651" s="36"/>
      <c r="D651" s="94"/>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15">
      <c r="A652" s="36"/>
      <c r="B652" s="36"/>
      <c r="C652" s="36"/>
      <c r="D652" s="94"/>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15">
      <c r="A653" s="36"/>
      <c r="B653" s="36"/>
      <c r="C653" s="36"/>
      <c r="D653" s="94"/>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15">
      <c r="A654" s="36"/>
      <c r="B654" s="36"/>
      <c r="C654" s="36"/>
      <c r="D654" s="94"/>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4"/>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4"/>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4"/>
      <c r="E657" s="2" t="s">
        <v>896</v>
      </c>
      <c r="F657" s="14">
        <v>3210</v>
      </c>
      <c r="G657" s="13"/>
      <c r="H657" s="15"/>
      <c r="I657" s="7">
        <f>901702</f>
        <v>901702</v>
      </c>
      <c r="J657" s="29"/>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6" ht="15" hidden="1">
      <c r="A658" s="36"/>
      <c r="B658" s="36"/>
      <c r="C658" s="36"/>
      <c r="D658" s="94"/>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row>
    <row r="659" spans="1:26" ht="15">
      <c r="A659" s="36"/>
      <c r="B659" s="36"/>
      <c r="C659" s="36"/>
      <c r="D659" s="94"/>
      <c r="E659" s="3" t="s">
        <v>715</v>
      </c>
      <c r="F659" s="14"/>
      <c r="G659" s="13"/>
      <c r="H659" s="15"/>
      <c r="I659" s="55">
        <f>SUM(I660:I664)</f>
        <v>634477.62</v>
      </c>
      <c r="J659" s="55">
        <f aca="true" t="shared" si="100" ref="J659:V659">SUM(J660:J664)</f>
        <v>0</v>
      </c>
      <c r="K659" s="55">
        <f t="shared" si="100"/>
        <v>0</v>
      </c>
      <c r="L659" s="55">
        <f t="shared" si="100"/>
        <v>0</v>
      </c>
      <c r="M659" s="55">
        <f t="shared" si="100"/>
        <v>0</v>
      </c>
      <c r="N659" s="55">
        <f t="shared" si="100"/>
        <v>0</v>
      </c>
      <c r="O659" s="55">
        <f t="shared" si="100"/>
        <v>142000</v>
      </c>
      <c r="P659" s="55">
        <f t="shared" si="100"/>
        <v>0</v>
      </c>
      <c r="Q659" s="55">
        <f t="shared" si="100"/>
        <v>492477.62</v>
      </c>
      <c r="R659" s="55">
        <f t="shared" si="100"/>
        <v>0</v>
      </c>
      <c r="S659" s="55">
        <f t="shared" si="100"/>
        <v>0</v>
      </c>
      <c r="T659" s="55">
        <f t="shared" si="100"/>
        <v>0</v>
      </c>
      <c r="U659" s="55">
        <f t="shared" si="100"/>
        <v>0</v>
      </c>
      <c r="V659" s="55">
        <f t="shared" si="100"/>
        <v>0</v>
      </c>
      <c r="W659" s="6">
        <f t="shared" si="95"/>
        <v>0</v>
      </c>
      <c r="X659" s="55">
        <f>SUM(X660:X664)</f>
        <v>522406.77</v>
      </c>
      <c r="Y659" s="6">
        <f t="shared" si="97"/>
        <v>112070.84999999998</v>
      </c>
      <c r="Z659" s="6">
        <f aca="true" t="shared" si="101" ref="Z659:Z664">I659-X659</f>
        <v>112070.84999999998</v>
      </c>
    </row>
    <row r="660" spans="1:26" ht="30.75">
      <c r="A660" s="36"/>
      <c r="B660" s="36"/>
      <c r="C660" s="36"/>
      <c r="D660" s="94"/>
      <c r="E660" s="116" t="s">
        <v>710</v>
      </c>
      <c r="F660" s="14">
        <v>3210</v>
      </c>
      <c r="G660" s="13"/>
      <c r="H660" s="15"/>
      <c r="I660" s="64">
        <v>76718.02</v>
      </c>
      <c r="J660" s="19"/>
      <c r="K660" s="7"/>
      <c r="L660" s="7"/>
      <c r="M660" s="7"/>
      <c r="N660" s="7"/>
      <c r="O660" s="7"/>
      <c r="P660" s="7"/>
      <c r="Q660" s="64">
        <v>76718.02</v>
      </c>
      <c r="R660" s="7"/>
      <c r="S660" s="7"/>
      <c r="T660" s="7"/>
      <c r="U660" s="7"/>
      <c r="V660" s="7"/>
      <c r="W660" s="6">
        <f t="shared" si="95"/>
        <v>0</v>
      </c>
      <c r="X660" s="6">
        <f>63630.68</f>
        <v>63630.68</v>
      </c>
      <c r="Y660" s="6">
        <f t="shared" si="97"/>
        <v>13087.340000000004</v>
      </c>
      <c r="Z660" s="6">
        <f t="shared" si="101"/>
        <v>13087.340000000004</v>
      </c>
    </row>
    <row r="661" spans="1:26" ht="30.75">
      <c r="A661" s="36"/>
      <c r="B661" s="36"/>
      <c r="C661" s="36"/>
      <c r="D661" s="94"/>
      <c r="E661" s="116" t="s">
        <v>711</v>
      </c>
      <c r="F661" s="14">
        <v>3210</v>
      </c>
      <c r="G661" s="13"/>
      <c r="H661" s="15"/>
      <c r="I661" s="64">
        <v>45759.6</v>
      </c>
      <c r="J661" s="19"/>
      <c r="K661" s="7"/>
      <c r="L661" s="7"/>
      <c r="M661" s="7"/>
      <c r="N661" s="7"/>
      <c r="O661" s="7"/>
      <c r="P661" s="7"/>
      <c r="Q661" s="64">
        <v>45759.6</v>
      </c>
      <c r="R661" s="7"/>
      <c r="S661" s="7"/>
      <c r="T661" s="7"/>
      <c r="U661" s="7"/>
      <c r="V661" s="7"/>
      <c r="W661" s="6">
        <f>I661-K661-L661-M661-N661-O661-P661-Q661-R661-S661-T661-U661-V661</f>
        <v>0</v>
      </c>
      <c r="X661" s="6"/>
      <c r="Y661" s="6">
        <f t="shared" si="97"/>
        <v>45759.6</v>
      </c>
      <c r="Z661" s="6">
        <f t="shared" si="101"/>
        <v>45759.6</v>
      </c>
    </row>
    <row r="662" spans="1:26" ht="30.75">
      <c r="A662" s="36"/>
      <c r="B662" s="36"/>
      <c r="C662" s="36"/>
      <c r="D662" s="94"/>
      <c r="E662" s="116" t="s">
        <v>712</v>
      </c>
      <c r="F662" s="14">
        <v>3210</v>
      </c>
      <c r="G662" s="13"/>
      <c r="H662" s="15"/>
      <c r="I662" s="64">
        <v>100000</v>
      </c>
      <c r="J662" s="19"/>
      <c r="K662" s="7"/>
      <c r="L662" s="7"/>
      <c r="M662" s="7"/>
      <c r="N662" s="7"/>
      <c r="O662" s="7">
        <f>100000</f>
        <v>100000</v>
      </c>
      <c r="P662" s="7"/>
      <c r="Q662" s="64">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0.75">
      <c r="A663" s="36"/>
      <c r="B663" s="36"/>
      <c r="C663" s="36"/>
      <c r="D663" s="94"/>
      <c r="E663" s="116" t="s">
        <v>713</v>
      </c>
      <c r="F663" s="14">
        <v>3210</v>
      </c>
      <c r="G663" s="13"/>
      <c r="H663" s="15"/>
      <c r="I663" s="64">
        <v>42000</v>
      </c>
      <c r="J663" s="19"/>
      <c r="K663" s="7"/>
      <c r="L663" s="7"/>
      <c r="M663" s="7"/>
      <c r="N663" s="7"/>
      <c r="O663" s="7">
        <f>42000</f>
        <v>42000</v>
      </c>
      <c r="P663" s="7"/>
      <c r="Q663" s="64">
        <f>42000-42000</f>
        <v>0</v>
      </c>
      <c r="R663" s="7"/>
      <c r="S663" s="7"/>
      <c r="T663" s="7"/>
      <c r="U663" s="7"/>
      <c r="V663" s="7"/>
      <c r="W663" s="6">
        <f>I663-K663-L663-M663-N663-O663-P663-Q663-R663-S663-T663-U663-V663</f>
        <v>0</v>
      </c>
      <c r="X663" s="6"/>
      <c r="Y663" s="6">
        <f t="shared" si="97"/>
        <v>42000</v>
      </c>
      <c r="Z663" s="6">
        <f t="shared" si="101"/>
        <v>42000</v>
      </c>
    </row>
    <row r="664" spans="1:26" ht="15">
      <c r="A664" s="36"/>
      <c r="B664" s="36"/>
      <c r="C664" s="36"/>
      <c r="D664" s="94"/>
      <c r="E664" s="116" t="s">
        <v>714</v>
      </c>
      <c r="F664" s="14">
        <v>3210</v>
      </c>
      <c r="G664" s="13"/>
      <c r="H664" s="15"/>
      <c r="I664" s="64">
        <v>370000</v>
      </c>
      <c r="J664" s="19"/>
      <c r="K664" s="7"/>
      <c r="L664" s="7"/>
      <c r="M664" s="7"/>
      <c r="N664" s="7"/>
      <c r="O664" s="7"/>
      <c r="P664" s="7"/>
      <c r="Q664" s="64">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15">
      <c r="A665" s="36"/>
      <c r="B665" s="36"/>
      <c r="C665" s="36"/>
      <c r="D665" s="94"/>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4"/>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4"/>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4"/>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4"/>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4"/>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4"/>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4"/>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4"/>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4"/>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4"/>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4"/>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4"/>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15">
      <c r="A678" s="36"/>
      <c r="B678" s="36"/>
      <c r="C678" s="36"/>
      <c r="D678" s="94"/>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4"/>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15">
      <c r="A680" s="36"/>
      <c r="B680" s="36"/>
      <c r="C680" s="36"/>
      <c r="D680" s="94"/>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15">
      <c r="A681" s="36"/>
      <c r="B681" s="36"/>
      <c r="C681" s="36"/>
      <c r="D681" s="94"/>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4"/>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15" hidden="1">
      <c r="A683" s="36"/>
      <c r="B683" s="36"/>
      <c r="C683" s="36"/>
      <c r="D683" s="94"/>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15">
      <c r="A684" s="36"/>
      <c r="B684" s="36"/>
      <c r="C684" s="36"/>
      <c r="D684" s="94"/>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15">
      <c r="A685" s="36"/>
      <c r="B685" s="36"/>
      <c r="C685" s="36"/>
      <c r="D685" s="94"/>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4"/>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4"/>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15">
      <c r="A688" s="36"/>
      <c r="B688" s="36"/>
      <c r="C688" s="36"/>
      <c r="D688" s="94"/>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15">
      <c r="A689" s="36"/>
      <c r="B689" s="36"/>
      <c r="C689" s="36"/>
      <c r="D689" s="94"/>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15">
      <c r="A690" s="36"/>
      <c r="B690" s="36"/>
      <c r="C690" s="36"/>
      <c r="D690" s="94"/>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15">
      <c r="A691" s="36"/>
      <c r="B691" s="36"/>
      <c r="C691" s="36"/>
      <c r="D691" s="94"/>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4"/>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4"/>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15">
      <c r="A694" s="36"/>
      <c r="B694" s="36"/>
      <c r="C694" s="36"/>
      <c r="D694" s="94"/>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15">
      <c r="A695" s="36"/>
      <c r="B695" s="36"/>
      <c r="C695" s="36"/>
      <c r="D695" s="94"/>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4"/>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4"/>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4"/>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4"/>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4"/>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4"/>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15">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6"/>
      <c r="L703" s="96"/>
      <c r="M703" s="96"/>
      <c r="N703" s="96"/>
      <c r="O703" s="96"/>
      <c r="P703" s="96"/>
      <c r="Q703" s="7">
        <v>271000</v>
      </c>
      <c r="R703" s="96"/>
      <c r="S703" s="96"/>
      <c r="T703" s="96"/>
      <c r="U703" s="96"/>
      <c r="V703" s="96"/>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6"/>
      <c r="L704" s="96"/>
      <c r="M704" s="96"/>
      <c r="N704" s="96"/>
      <c r="O704" s="96"/>
      <c r="P704" s="7">
        <f>1200000</f>
        <v>1200000</v>
      </c>
      <c r="Q704" s="7">
        <f>1200000-1200000</f>
        <v>0</v>
      </c>
      <c r="R704" s="96"/>
      <c r="S704" s="96"/>
      <c r="T704" s="96"/>
      <c r="U704" s="96"/>
      <c r="V704" s="96"/>
      <c r="W704" s="6">
        <f t="shared" si="103"/>
        <v>0</v>
      </c>
      <c r="X704" s="6">
        <v>1200000</v>
      </c>
      <c r="Y704" s="6">
        <f t="shared" si="97"/>
        <v>0</v>
      </c>
      <c r="Z704" s="6">
        <f t="shared" si="104"/>
        <v>0</v>
      </c>
    </row>
    <row r="705" spans="1:26" ht="30.75">
      <c r="A705" s="69" t="s">
        <v>87</v>
      </c>
      <c r="B705" s="70"/>
      <c r="C705" s="71"/>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22079606.849999998</v>
      </c>
      <c r="T705" s="12">
        <f t="shared" si="106"/>
        <v>41069039.42</v>
      </c>
      <c r="U705" s="12">
        <f t="shared" si="106"/>
        <v>47771500</v>
      </c>
      <c r="V705" s="12">
        <f t="shared" si="106"/>
        <v>29222567.880000003</v>
      </c>
      <c r="W705" s="6">
        <f t="shared" si="103"/>
        <v>0</v>
      </c>
      <c r="X705" s="12">
        <f t="shared" si="106"/>
        <v>79281638.64</v>
      </c>
      <c r="Y705" s="6">
        <f t="shared" si="97"/>
        <v>39643533.05999999</v>
      </c>
      <c r="Z705" s="6">
        <f t="shared" si="104"/>
        <v>157706640.36</v>
      </c>
    </row>
    <row r="706" spans="1:26" ht="30.75">
      <c r="A706" s="69" t="s">
        <v>88</v>
      </c>
      <c r="B706" s="70"/>
      <c r="C706" s="71"/>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22079606.849999998</v>
      </c>
      <c r="T706" s="12">
        <f t="shared" si="107"/>
        <v>41069039.42</v>
      </c>
      <c r="U706" s="12">
        <f t="shared" si="107"/>
        <v>47771500</v>
      </c>
      <c r="V706" s="12">
        <f t="shared" si="107"/>
        <v>29222567.880000003</v>
      </c>
      <c r="W706" s="6">
        <f t="shared" si="103"/>
        <v>0</v>
      </c>
      <c r="X706" s="12">
        <f>X709+X716+X718+X726+X761+X714+X711+X768+X770+X707</f>
        <v>79281638.64</v>
      </c>
      <c r="Y706" s="6">
        <f t="shared" si="97"/>
        <v>39643533.05999999</v>
      </c>
      <c r="Z706" s="6">
        <f t="shared" si="104"/>
        <v>157706640.36</v>
      </c>
    </row>
    <row r="707" spans="1:26" ht="36.75" customHeight="1">
      <c r="A707" s="107" t="s">
        <v>787</v>
      </c>
      <c r="B707" s="117" t="s">
        <v>147</v>
      </c>
      <c r="C707" s="107" t="s">
        <v>146</v>
      </c>
      <c r="D707" s="118"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0"/>
      <c r="B708" s="119"/>
      <c r="C708" s="110"/>
      <c r="D708" s="120"/>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15">
      <c r="A709" s="107" t="s">
        <v>356</v>
      </c>
      <c r="B709" s="121">
        <v>1020</v>
      </c>
      <c r="C709" s="122" t="s">
        <v>123</v>
      </c>
      <c r="D709" s="118"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0"/>
      <c r="B710" s="123"/>
      <c r="C710" s="124"/>
      <c r="D710" s="120"/>
      <c r="E710" s="21" t="s">
        <v>801</v>
      </c>
      <c r="F710" s="14">
        <v>3132</v>
      </c>
      <c r="G710" s="1"/>
      <c r="H710" s="23"/>
      <c r="I710" s="6">
        <v>1200000</v>
      </c>
      <c r="J710" s="28"/>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15">
      <c r="A711" s="107" t="s">
        <v>722</v>
      </c>
      <c r="B711" s="121">
        <v>5031</v>
      </c>
      <c r="C711" s="122" t="s">
        <v>400</v>
      </c>
      <c r="D711" s="118"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25"/>
      <c r="B712" s="126"/>
      <c r="C712" s="127"/>
      <c r="D712" s="128"/>
      <c r="E712" s="21" t="s">
        <v>792</v>
      </c>
      <c r="F712" s="14">
        <v>3132</v>
      </c>
      <c r="G712" s="1"/>
      <c r="H712" s="23"/>
      <c r="I712" s="6">
        <v>100000</v>
      </c>
      <c r="J712" s="28"/>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0"/>
      <c r="B713" s="123"/>
      <c r="C713" s="124"/>
      <c r="D713" s="120"/>
      <c r="E713" s="21" t="s">
        <v>723</v>
      </c>
      <c r="F713" s="14">
        <v>3132</v>
      </c>
      <c r="G713" s="1"/>
      <c r="H713" s="23"/>
      <c r="I713" s="6">
        <v>33000</v>
      </c>
      <c r="J713" s="28"/>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15" hidden="1">
      <c r="A714" s="107" t="s">
        <v>592</v>
      </c>
      <c r="B714" s="121">
        <v>6030</v>
      </c>
      <c r="C714" s="122" t="s">
        <v>165</v>
      </c>
      <c r="D714" s="118"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0"/>
      <c r="B715" s="123"/>
      <c r="C715" s="124"/>
      <c r="D715" s="120"/>
      <c r="E715" s="5" t="s">
        <v>272</v>
      </c>
      <c r="F715" s="14">
        <v>3132</v>
      </c>
      <c r="G715" s="1"/>
      <c r="H715" s="4"/>
      <c r="I715" s="11">
        <f>300000-300000</f>
        <v>0</v>
      </c>
      <c r="J715" s="28"/>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15">
      <c r="A716" s="36" t="s">
        <v>192</v>
      </c>
      <c r="B716" s="36" t="s">
        <v>131</v>
      </c>
      <c r="C716" s="36" t="s">
        <v>63</v>
      </c>
      <c r="D716" s="94"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4"/>
      <c r="E717" s="21" t="s">
        <v>749</v>
      </c>
      <c r="F717" s="14">
        <v>3142</v>
      </c>
      <c r="G717" s="1"/>
      <c r="H717" s="23"/>
      <c r="I717" s="6">
        <f>170000-9000-32000</f>
        <v>129000</v>
      </c>
      <c r="J717" s="28"/>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15">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8"/>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8"/>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8"/>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8"/>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8"/>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8"/>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15" hidden="1">
      <c r="A725" s="97"/>
      <c r="B725" s="97"/>
      <c r="C725" s="97"/>
      <c r="D725" s="95"/>
      <c r="E725" s="21" t="s">
        <v>937</v>
      </c>
      <c r="F725" s="14"/>
      <c r="G725" s="1"/>
      <c r="H725" s="23"/>
      <c r="I725" s="6"/>
      <c r="J725" s="28"/>
      <c r="K725" s="52"/>
      <c r="L725" s="52"/>
      <c r="M725" s="52"/>
      <c r="N725" s="52"/>
      <c r="O725" s="52"/>
      <c r="P725" s="52"/>
      <c r="Q725" s="52"/>
      <c r="R725" s="52"/>
      <c r="S725" s="52"/>
      <c r="T725" s="52"/>
      <c r="U725" s="52"/>
      <c r="V725" s="52"/>
      <c r="W725" s="6">
        <f t="shared" si="115"/>
        <v>0</v>
      </c>
      <c r="X725" s="6"/>
      <c r="Y725" s="6">
        <f t="shared" si="110"/>
        <v>0</v>
      </c>
      <c r="Z725" s="6">
        <f t="shared" si="104"/>
        <v>0</v>
      </c>
    </row>
    <row r="726" spans="1:26"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20903854.4</v>
      </c>
      <c r="T726" s="12">
        <f t="shared" si="116"/>
        <v>38953409.42</v>
      </c>
      <c r="U726" s="12">
        <f t="shared" si="116"/>
        <v>45273500</v>
      </c>
      <c r="V726" s="12">
        <f t="shared" si="116"/>
        <v>25139320.330000002</v>
      </c>
      <c r="W726" s="6">
        <f t="shared" si="115"/>
        <v>0</v>
      </c>
      <c r="X726" s="12">
        <f t="shared" si="116"/>
        <v>75936567.47</v>
      </c>
      <c r="Y726" s="6">
        <f t="shared" si="110"/>
        <v>36751451.78</v>
      </c>
      <c r="Z726" s="6">
        <f t="shared" si="104"/>
        <v>146117681.53</v>
      </c>
    </row>
    <row r="727" spans="1:26"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6"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row>
    <row r="730" spans="1:26" ht="46.5" customHeight="1">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row>
    <row r="731" spans="1:26"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row>
    <row r="732" spans="1:26"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row>
    <row r="733" spans="1:26"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row>
    <row r="734" spans="1:26"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f>-280000</f>
        <v>-280000</v>
      </c>
      <c r="T734" s="11">
        <f>250000+7000000</f>
        <v>7250000</v>
      </c>
      <c r="U734" s="11">
        <f>111000</f>
        <v>111000</v>
      </c>
      <c r="V734" s="11">
        <f>500000+169000</f>
        <v>669000</v>
      </c>
      <c r="W734" s="6">
        <f t="shared" si="115"/>
        <v>0</v>
      </c>
      <c r="X734" s="6">
        <f>5000000+2023964+15336.5+1460849+11207.01+3387.24+3000000</f>
        <v>11514743.75</v>
      </c>
      <c r="Y734" s="6">
        <f t="shared" si="110"/>
        <v>455256.25</v>
      </c>
      <c r="Z734" s="6">
        <f t="shared" si="104"/>
        <v>8485256.25</v>
      </c>
    </row>
    <row r="735" spans="1:26"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6"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1500000+1200000+4000000+3100</f>
        <v>6703100</v>
      </c>
      <c r="T745" s="11">
        <f>1934410+5000000-1200000</f>
        <v>5734410</v>
      </c>
      <c r="U745" s="11">
        <f>6200000-4000000-3100</f>
        <v>2196900</v>
      </c>
      <c r="V745" s="11">
        <v>2123020</v>
      </c>
      <c r="W745" s="6">
        <f t="shared" si="115"/>
        <v>0</v>
      </c>
      <c r="X745" s="6">
        <f>2217023.25+4000000</f>
        <v>6217023.25</v>
      </c>
      <c r="Y745" s="6">
        <f t="shared" si="110"/>
        <v>5051666.75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6"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11000000-1200000-2400000-7000000-3100</f>
        <v>396900</v>
      </c>
      <c r="T748" s="11">
        <f>7996999.15+500000+2400000</f>
        <v>10896999.15</v>
      </c>
      <c r="U748" s="11">
        <f>3005000+60000-400000+1000000+7000000+3100</f>
        <v>10668100</v>
      </c>
      <c r="V748" s="11">
        <f>2000000-600000</f>
        <v>1400000</v>
      </c>
      <c r="W748" s="6">
        <f t="shared" si="115"/>
        <v>-1.862645149230957E-09</v>
      </c>
      <c r="X748" s="6">
        <f>3000000</f>
        <v>3000000</v>
      </c>
      <c r="Y748" s="6">
        <f t="shared" si="110"/>
        <v>8834900.85</v>
      </c>
      <c r="Z748" s="6">
        <f t="shared" si="104"/>
        <v>31800000</v>
      </c>
    </row>
    <row r="749" spans="1:26" ht="30.75">
      <c r="A749" s="39"/>
      <c r="B749" s="39"/>
      <c r="C749" s="35"/>
      <c r="D749" s="35"/>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row>
    <row r="750" spans="1:26" ht="30.75">
      <c r="A750" s="39"/>
      <c r="B750" s="39"/>
      <c r="C750" s="35"/>
      <c r="D750" s="35"/>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row>
    <row r="751" spans="1:26" ht="15">
      <c r="A751" s="39"/>
      <c r="B751" s="39"/>
      <c r="C751" s="35"/>
      <c r="D751" s="35"/>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row>
    <row r="752" spans="1:26" ht="30.75">
      <c r="A752" s="39"/>
      <c r="B752" s="39"/>
      <c r="C752" s="35"/>
      <c r="D752" s="35"/>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row>
    <row r="753" spans="1:26"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15">
      <c r="A761" s="73" t="s">
        <v>355</v>
      </c>
      <c r="B761" s="73" t="s">
        <v>207</v>
      </c>
      <c r="C761" s="73" t="s">
        <v>40</v>
      </c>
      <c r="D761" s="74" t="s">
        <v>41</v>
      </c>
      <c r="E761" s="5"/>
      <c r="F761" s="14"/>
      <c r="G761" s="1"/>
      <c r="H761" s="4"/>
      <c r="I761" s="129">
        <f>SUM(I766:I767)+I762</f>
        <v>3586000</v>
      </c>
      <c r="J761" s="129">
        <f aca="true" t="shared" si="117" ref="J761:X761">SUM(J766:J767)+J762</f>
        <v>0</v>
      </c>
      <c r="K761" s="129">
        <f t="shared" si="117"/>
        <v>0</v>
      </c>
      <c r="L761" s="129">
        <f t="shared" si="117"/>
        <v>0</v>
      </c>
      <c r="M761" s="129">
        <f t="shared" si="117"/>
        <v>0</v>
      </c>
      <c r="N761" s="129">
        <f t="shared" si="117"/>
        <v>0</v>
      </c>
      <c r="O761" s="129">
        <f t="shared" si="117"/>
        <v>150000</v>
      </c>
      <c r="P761" s="129">
        <f t="shared" si="117"/>
        <v>0</v>
      </c>
      <c r="Q761" s="129">
        <f t="shared" si="117"/>
        <v>990000</v>
      </c>
      <c r="R761" s="129">
        <f t="shared" si="117"/>
        <v>1300000</v>
      </c>
      <c r="S761" s="129">
        <f t="shared" si="117"/>
        <v>550000</v>
      </c>
      <c r="T761" s="129">
        <f t="shared" si="117"/>
        <v>0</v>
      </c>
      <c r="U761" s="129">
        <f t="shared" si="117"/>
        <v>296000</v>
      </c>
      <c r="V761" s="129">
        <f t="shared" si="117"/>
        <v>300000</v>
      </c>
      <c r="W761" s="6">
        <f t="shared" si="115"/>
        <v>0</v>
      </c>
      <c r="X761" s="129">
        <f t="shared" si="117"/>
        <v>1422288</v>
      </c>
      <c r="Y761" s="6">
        <f t="shared" si="110"/>
        <v>1567712</v>
      </c>
      <c r="Z761" s="6">
        <f t="shared" si="104"/>
        <v>2163712</v>
      </c>
    </row>
    <row r="762" spans="1:26" ht="30.75">
      <c r="A762" s="76"/>
      <c r="B762" s="76"/>
      <c r="C762" s="76"/>
      <c r="D762" s="77"/>
      <c r="E762" s="5" t="s">
        <v>788</v>
      </c>
      <c r="F762" s="14"/>
      <c r="G762" s="1"/>
      <c r="H762" s="4"/>
      <c r="I762" s="129">
        <f>SUM(I763:I765)</f>
        <v>236000</v>
      </c>
      <c r="J762" s="129">
        <f aca="true" t="shared" si="118" ref="J762:X762">SUM(J763:J765)</f>
        <v>0</v>
      </c>
      <c r="K762" s="129">
        <f t="shared" si="118"/>
        <v>0</v>
      </c>
      <c r="L762" s="129">
        <f t="shared" si="118"/>
        <v>0</v>
      </c>
      <c r="M762" s="129">
        <f t="shared" si="118"/>
        <v>0</v>
      </c>
      <c r="N762" s="129">
        <f t="shared" si="118"/>
        <v>0</v>
      </c>
      <c r="O762" s="129">
        <f t="shared" si="118"/>
        <v>0</v>
      </c>
      <c r="P762" s="129">
        <f t="shared" si="118"/>
        <v>0</v>
      </c>
      <c r="Q762" s="129">
        <f t="shared" si="118"/>
        <v>0</v>
      </c>
      <c r="R762" s="129">
        <f t="shared" si="118"/>
        <v>0</v>
      </c>
      <c r="S762" s="129">
        <f t="shared" si="118"/>
        <v>0</v>
      </c>
      <c r="T762" s="129">
        <f t="shared" si="118"/>
        <v>0</v>
      </c>
      <c r="U762" s="129">
        <f t="shared" si="118"/>
        <v>236000</v>
      </c>
      <c r="V762" s="129">
        <f t="shared" si="118"/>
        <v>0</v>
      </c>
      <c r="W762" s="6">
        <f t="shared" si="115"/>
        <v>0</v>
      </c>
      <c r="X762" s="129">
        <f t="shared" si="118"/>
        <v>0</v>
      </c>
      <c r="Y762" s="6">
        <f t="shared" si="110"/>
        <v>0</v>
      </c>
      <c r="Z762" s="6">
        <f>I762-X762</f>
        <v>236000</v>
      </c>
    </row>
    <row r="763" spans="1:26" ht="30.75">
      <c r="A763" s="76"/>
      <c r="B763" s="76"/>
      <c r="C763" s="76"/>
      <c r="D763" s="77"/>
      <c r="E763" s="130" t="s">
        <v>789</v>
      </c>
      <c r="F763" s="14">
        <v>3110</v>
      </c>
      <c r="G763" s="1"/>
      <c r="H763" s="4"/>
      <c r="I763" s="131">
        <v>80000</v>
      </c>
      <c r="J763" s="132"/>
      <c r="K763" s="131"/>
      <c r="L763" s="131"/>
      <c r="M763" s="131"/>
      <c r="N763" s="131"/>
      <c r="O763" s="131"/>
      <c r="P763" s="131"/>
      <c r="Q763" s="131"/>
      <c r="R763" s="131"/>
      <c r="S763" s="131"/>
      <c r="T763" s="131"/>
      <c r="U763" s="131">
        <v>80000</v>
      </c>
      <c r="V763" s="11"/>
      <c r="W763" s="6">
        <f t="shared" si="115"/>
        <v>0</v>
      </c>
      <c r="X763" s="129"/>
      <c r="Y763" s="6">
        <f t="shared" si="110"/>
        <v>0</v>
      </c>
      <c r="Z763" s="6">
        <f>I763-X763</f>
        <v>80000</v>
      </c>
    </row>
    <row r="764" spans="1:26" ht="62.25">
      <c r="A764" s="76"/>
      <c r="B764" s="76"/>
      <c r="C764" s="76"/>
      <c r="D764" s="77"/>
      <c r="E764" s="130" t="s">
        <v>790</v>
      </c>
      <c r="F764" s="14">
        <v>3110</v>
      </c>
      <c r="G764" s="1"/>
      <c r="H764" s="4"/>
      <c r="I764" s="131">
        <v>96000</v>
      </c>
      <c r="J764" s="132"/>
      <c r="K764" s="131"/>
      <c r="L764" s="131"/>
      <c r="M764" s="131"/>
      <c r="N764" s="131"/>
      <c r="O764" s="131"/>
      <c r="P764" s="131"/>
      <c r="Q764" s="131"/>
      <c r="R764" s="131"/>
      <c r="S764" s="131"/>
      <c r="T764" s="131"/>
      <c r="U764" s="131">
        <v>96000</v>
      </c>
      <c r="V764" s="11"/>
      <c r="W764" s="6">
        <f t="shared" si="115"/>
        <v>0</v>
      </c>
      <c r="X764" s="129"/>
      <c r="Y764" s="6">
        <f t="shared" si="110"/>
        <v>0</v>
      </c>
      <c r="Z764" s="6">
        <f>I764-X764</f>
        <v>96000</v>
      </c>
    </row>
    <row r="765" spans="1:26" ht="15">
      <c r="A765" s="76"/>
      <c r="B765" s="76"/>
      <c r="C765" s="76"/>
      <c r="D765" s="77"/>
      <c r="E765" s="130" t="s">
        <v>791</v>
      </c>
      <c r="F765" s="14">
        <v>3110</v>
      </c>
      <c r="G765" s="1"/>
      <c r="H765" s="4"/>
      <c r="I765" s="131">
        <v>60000</v>
      </c>
      <c r="J765" s="132"/>
      <c r="K765" s="131"/>
      <c r="L765" s="131"/>
      <c r="M765" s="131"/>
      <c r="N765" s="131"/>
      <c r="O765" s="131"/>
      <c r="P765" s="131"/>
      <c r="Q765" s="131"/>
      <c r="R765" s="131"/>
      <c r="S765" s="131"/>
      <c r="T765" s="131"/>
      <c r="U765" s="131">
        <v>60000</v>
      </c>
      <c r="V765" s="11"/>
      <c r="W765" s="6">
        <f t="shared" si="115"/>
        <v>0</v>
      </c>
      <c r="X765" s="129"/>
      <c r="Y765" s="6">
        <f t="shared" si="110"/>
        <v>0</v>
      </c>
      <c r="Z765" s="6">
        <f>I765-X765</f>
        <v>60000</v>
      </c>
    </row>
    <row r="766" spans="1:26" ht="30.75">
      <c r="A766" s="76"/>
      <c r="B766" s="76"/>
      <c r="C766" s="76"/>
      <c r="D766" s="77"/>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6"/>
      <c r="B767" s="76"/>
      <c r="C767" s="76"/>
      <c r="D767" s="77"/>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3" t="s">
        <v>781</v>
      </c>
      <c r="B768" s="73" t="s">
        <v>782</v>
      </c>
      <c r="C768" s="73" t="s">
        <v>40</v>
      </c>
      <c r="D768" s="118" t="s">
        <v>783</v>
      </c>
      <c r="E768" s="133"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15">
      <c r="A769" s="93"/>
      <c r="B769" s="93"/>
      <c r="C769" s="93"/>
      <c r="D769" s="120"/>
      <c r="E769" s="134"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33"/>
      <c r="F770" s="14"/>
      <c r="G770" s="1"/>
      <c r="H770" s="4"/>
      <c r="I770" s="129">
        <f>I771</f>
        <v>250000</v>
      </c>
      <c r="J770" s="129">
        <f aca="true" t="shared" si="122" ref="J770:X770">J771</f>
        <v>0</v>
      </c>
      <c r="K770" s="129">
        <f t="shared" si="122"/>
        <v>0</v>
      </c>
      <c r="L770" s="129">
        <f t="shared" si="122"/>
        <v>0</v>
      </c>
      <c r="M770" s="129">
        <f t="shared" si="122"/>
        <v>0</v>
      </c>
      <c r="N770" s="129">
        <f t="shared" si="122"/>
        <v>0</v>
      </c>
      <c r="O770" s="129">
        <f t="shared" si="122"/>
        <v>0</v>
      </c>
      <c r="P770" s="129">
        <f t="shared" si="122"/>
        <v>0</v>
      </c>
      <c r="Q770" s="129">
        <f t="shared" si="122"/>
        <v>0</v>
      </c>
      <c r="R770" s="129">
        <f t="shared" si="122"/>
        <v>0</v>
      </c>
      <c r="S770" s="129">
        <f t="shared" si="122"/>
        <v>150000</v>
      </c>
      <c r="T770" s="129">
        <f t="shared" si="122"/>
        <v>0</v>
      </c>
      <c r="U770" s="129">
        <f t="shared" si="122"/>
        <v>100000</v>
      </c>
      <c r="V770" s="129">
        <f t="shared" si="122"/>
        <v>0</v>
      </c>
      <c r="W770" s="6">
        <f t="shared" si="119"/>
        <v>0</v>
      </c>
      <c r="X770" s="129">
        <f t="shared" si="122"/>
        <v>0</v>
      </c>
      <c r="Y770" s="6">
        <f t="shared" si="110"/>
        <v>150000</v>
      </c>
      <c r="Z770" s="6">
        <f t="shared" si="121"/>
        <v>250000</v>
      </c>
    </row>
    <row r="771" spans="1:26" ht="31.5" customHeight="1">
      <c r="A771" s="39"/>
      <c r="B771" s="39"/>
      <c r="C771" s="39"/>
      <c r="D771" s="35"/>
      <c r="E771" s="133" t="s">
        <v>786</v>
      </c>
      <c r="F771" s="14">
        <v>3122</v>
      </c>
      <c r="G771" s="1"/>
      <c r="H771" s="4"/>
      <c r="I771" s="11">
        <f>100000+150000</f>
        <v>250000</v>
      </c>
      <c r="J771" s="24"/>
      <c r="K771" s="96"/>
      <c r="L771" s="96"/>
      <c r="M771" s="96"/>
      <c r="N771" s="96"/>
      <c r="O771" s="96"/>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2" t="s">
        <v>841</v>
      </c>
      <c r="E772" s="133"/>
      <c r="F772" s="14"/>
      <c r="G772" s="1"/>
      <c r="H772" s="4"/>
      <c r="I772" s="129">
        <f>I773</f>
        <v>124400</v>
      </c>
      <c r="J772" s="129">
        <f aca="true" t="shared" si="123" ref="J772:X774">J773</f>
        <v>0</v>
      </c>
      <c r="K772" s="129">
        <f t="shared" si="123"/>
        <v>0</v>
      </c>
      <c r="L772" s="129">
        <f t="shared" si="123"/>
        <v>0</v>
      </c>
      <c r="M772" s="129">
        <f t="shared" si="123"/>
        <v>0</v>
      </c>
      <c r="N772" s="129">
        <f t="shared" si="123"/>
        <v>0</v>
      </c>
      <c r="O772" s="129">
        <f t="shared" si="123"/>
        <v>0</v>
      </c>
      <c r="P772" s="129">
        <f t="shared" si="123"/>
        <v>0</v>
      </c>
      <c r="Q772" s="129">
        <f t="shared" si="123"/>
        <v>0</v>
      </c>
      <c r="R772" s="129">
        <f t="shared" si="123"/>
        <v>0</v>
      </c>
      <c r="S772" s="129">
        <f t="shared" si="123"/>
        <v>124400</v>
      </c>
      <c r="T772" s="129">
        <f t="shared" si="123"/>
        <v>0</v>
      </c>
      <c r="U772" s="129">
        <f t="shared" si="123"/>
        <v>0</v>
      </c>
      <c r="V772" s="129">
        <f t="shared" si="123"/>
        <v>0</v>
      </c>
      <c r="W772" s="6">
        <f t="shared" si="119"/>
        <v>0</v>
      </c>
      <c r="X772" s="129">
        <f t="shared" si="123"/>
        <v>0</v>
      </c>
      <c r="Y772" s="6">
        <f>K772+L772+M772+N772+O772+P772+Q772+R772+S772-X772</f>
        <v>124400</v>
      </c>
      <c r="Z772" s="6">
        <f t="shared" si="121"/>
        <v>124400</v>
      </c>
    </row>
    <row r="773" spans="1:26" ht="31.5" customHeight="1">
      <c r="A773" s="33" t="s">
        <v>842</v>
      </c>
      <c r="B773" s="33"/>
      <c r="C773" s="33"/>
      <c r="D773" s="32" t="s">
        <v>841</v>
      </c>
      <c r="E773" s="133"/>
      <c r="F773" s="14"/>
      <c r="G773" s="1"/>
      <c r="H773" s="4"/>
      <c r="I773" s="129">
        <f>I774</f>
        <v>124400</v>
      </c>
      <c r="J773" s="129">
        <f t="shared" si="123"/>
        <v>0</v>
      </c>
      <c r="K773" s="129">
        <f t="shared" si="123"/>
        <v>0</v>
      </c>
      <c r="L773" s="129">
        <f t="shared" si="123"/>
        <v>0</v>
      </c>
      <c r="M773" s="129">
        <f t="shared" si="123"/>
        <v>0</v>
      </c>
      <c r="N773" s="129">
        <f t="shared" si="123"/>
        <v>0</v>
      </c>
      <c r="O773" s="129">
        <f t="shared" si="123"/>
        <v>0</v>
      </c>
      <c r="P773" s="129">
        <f t="shared" si="123"/>
        <v>0</v>
      </c>
      <c r="Q773" s="129">
        <f t="shared" si="123"/>
        <v>0</v>
      </c>
      <c r="R773" s="129">
        <f t="shared" si="123"/>
        <v>0</v>
      </c>
      <c r="S773" s="129">
        <f t="shared" si="123"/>
        <v>124400</v>
      </c>
      <c r="T773" s="129">
        <f t="shared" si="123"/>
        <v>0</v>
      </c>
      <c r="U773" s="129">
        <f t="shared" si="123"/>
        <v>0</v>
      </c>
      <c r="V773" s="129">
        <f t="shared" si="123"/>
        <v>0</v>
      </c>
      <c r="W773" s="6">
        <f t="shared" si="119"/>
        <v>0</v>
      </c>
      <c r="X773" s="129">
        <f t="shared" si="123"/>
        <v>0</v>
      </c>
      <c r="Y773" s="6">
        <f>K773+L773+M773+N773+O773+P773+Q773+R773+S773-X773</f>
        <v>124400</v>
      </c>
      <c r="Z773" s="6">
        <f t="shared" si="121"/>
        <v>124400</v>
      </c>
    </row>
    <row r="774" spans="1:26" ht="15">
      <c r="A774" s="73" t="s">
        <v>843</v>
      </c>
      <c r="B774" s="73" t="s">
        <v>147</v>
      </c>
      <c r="C774" s="73" t="s">
        <v>146</v>
      </c>
      <c r="D774" s="74" t="s">
        <v>145</v>
      </c>
      <c r="E774" s="133"/>
      <c r="F774" s="14"/>
      <c r="G774" s="1"/>
      <c r="H774" s="4"/>
      <c r="I774" s="129">
        <f>I775</f>
        <v>124400</v>
      </c>
      <c r="J774" s="129">
        <f t="shared" si="123"/>
        <v>0</v>
      </c>
      <c r="K774" s="129">
        <f t="shared" si="123"/>
        <v>0</v>
      </c>
      <c r="L774" s="129">
        <f t="shared" si="123"/>
        <v>0</v>
      </c>
      <c r="M774" s="129">
        <f t="shared" si="123"/>
        <v>0</v>
      </c>
      <c r="N774" s="129">
        <f t="shared" si="123"/>
        <v>0</v>
      </c>
      <c r="O774" s="129">
        <f t="shared" si="123"/>
        <v>0</v>
      </c>
      <c r="P774" s="129">
        <f t="shared" si="123"/>
        <v>0</v>
      </c>
      <c r="Q774" s="129">
        <f t="shared" si="123"/>
        <v>0</v>
      </c>
      <c r="R774" s="129">
        <f t="shared" si="123"/>
        <v>0</v>
      </c>
      <c r="S774" s="129">
        <f t="shared" si="123"/>
        <v>124400</v>
      </c>
      <c r="T774" s="129">
        <f t="shared" si="123"/>
        <v>0</v>
      </c>
      <c r="U774" s="129">
        <f t="shared" si="123"/>
        <v>0</v>
      </c>
      <c r="V774" s="129">
        <f t="shared" si="123"/>
        <v>0</v>
      </c>
      <c r="W774" s="6">
        <f t="shared" si="119"/>
        <v>0</v>
      </c>
      <c r="X774" s="129">
        <f t="shared" si="123"/>
        <v>0</v>
      </c>
      <c r="Y774" s="6">
        <f>K774+L774+M774+N774+O774+P774+Q774+R774+S774-X774</f>
        <v>124400</v>
      </c>
      <c r="Z774" s="6">
        <f t="shared" si="121"/>
        <v>124400</v>
      </c>
    </row>
    <row r="775" spans="1:26" ht="48" customHeight="1">
      <c r="A775" s="93"/>
      <c r="B775" s="93"/>
      <c r="C775" s="93"/>
      <c r="D775" s="85"/>
      <c r="E775" s="133" t="s">
        <v>844</v>
      </c>
      <c r="F775" s="14">
        <v>3110</v>
      </c>
      <c r="G775" s="1"/>
      <c r="H775" s="4"/>
      <c r="I775" s="11">
        <v>124400</v>
      </c>
      <c r="J775" s="24"/>
      <c r="K775" s="96"/>
      <c r="L775" s="96"/>
      <c r="M775" s="96"/>
      <c r="N775" s="96"/>
      <c r="O775" s="96"/>
      <c r="P775" s="11"/>
      <c r="Q775" s="11"/>
      <c r="R775" s="11"/>
      <c r="S775" s="11">
        <v>124400</v>
      </c>
      <c r="T775" s="11"/>
      <c r="U775" s="11"/>
      <c r="V775" s="11"/>
      <c r="W775" s="6">
        <f t="shared" si="119"/>
        <v>0</v>
      </c>
      <c r="X775" s="6"/>
      <c r="Y775" s="6">
        <f>K775+L775+M775+N775+O775+P775+Q775+R775+S775-X775</f>
        <v>124400</v>
      </c>
      <c r="Z775" s="6">
        <f t="shared" si="121"/>
        <v>124400</v>
      </c>
    </row>
    <row r="776" spans="1:26" s="136" customFormat="1" ht="21.75" customHeight="1">
      <c r="A776" s="53" t="s">
        <v>204</v>
      </c>
      <c r="B776" s="53"/>
      <c r="C776" s="53"/>
      <c r="D776" s="53" t="s">
        <v>203</v>
      </c>
      <c r="E776" s="53"/>
      <c r="F776" s="14"/>
      <c r="G776" s="53"/>
      <c r="H776" s="53"/>
      <c r="I776" s="135">
        <f>I777</f>
        <v>3746487.88</v>
      </c>
      <c r="J776" s="135">
        <f aca="true" t="shared" si="124" ref="J776:X776">J777</f>
        <v>0</v>
      </c>
      <c r="K776" s="135">
        <f t="shared" si="124"/>
        <v>0</v>
      </c>
      <c r="L776" s="135">
        <f t="shared" si="124"/>
        <v>0</v>
      </c>
      <c r="M776" s="135">
        <f t="shared" si="124"/>
        <v>240000</v>
      </c>
      <c r="N776" s="135">
        <f t="shared" si="124"/>
        <v>737663</v>
      </c>
      <c r="O776" s="135">
        <f t="shared" si="124"/>
        <v>986500</v>
      </c>
      <c r="P776" s="135">
        <f t="shared" si="124"/>
        <v>427150</v>
      </c>
      <c r="Q776" s="135">
        <f t="shared" si="124"/>
        <v>1124100</v>
      </c>
      <c r="R776" s="135">
        <f t="shared" si="124"/>
        <v>1351100</v>
      </c>
      <c r="S776" s="135">
        <f t="shared" si="124"/>
        <v>-1269225.12</v>
      </c>
      <c r="T776" s="135">
        <f t="shared" si="124"/>
        <v>23200</v>
      </c>
      <c r="U776" s="135">
        <f t="shared" si="124"/>
        <v>126000</v>
      </c>
      <c r="V776" s="135">
        <f t="shared" si="124"/>
        <v>0</v>
      </c>
      <c r="W776" s="6">
        <f t="shared" si="119"/>
        <v>0</v>
      </c>
      <c r="X776" s="135">
        <f t="shared" si="124"/>
        <v>2257003.26</v>
      </c>
      <c r="Y776" s="6">
        <f>K776+L776+M776+N776+O776+P776+Q776+R776+S776-X776</f>
        <v>1340284.62</v>
      </c>
      <c r="Z776" s="6">
        <f t="shared" si="121"/>
        <v>1489484.62</v>
      </c>
    </row>
    <row r="777" spans="1:26" s="136" customFormat="1" ht="30.75">
      <c r="A777" s="53" t="s">
        <v>205</v>
      </c>
      <c r="B777" s="53"/>
      <c r="C777" s="53"/>
      <c r="D777" s="53" t="s">
        <v>203</v>
      </c>
      <c r="E777" s="53"/>
      <c r="F777" s="14"/>
      <c r="G777" s="53"/>
      <c r="H777" s="53"/>
      <c r="I777" s="135">
        <f>I778+I794+I797</f>
        <v>3746487.88</v>
      </c>
      <c r="J777" s="135">
        <f aca="true" t="shared" si="125" ref="J777:V777">J778+J794+J797</f>
        <v>0</v>
      </c>
      <c r="K777" s="135">
        <f t="shared" si="125"/>
        <v>0</v>
      </c>
      <c r="L777" s="135">
        <f t="shared" si="125"/>
        <v>0</v>
      </c>
      <c r="M777" s="135">
        <f t="shared" si="125"/>
        <v>240000</v>
      </c>
      <c r="N777" s="135">
        <f t="shared" si="125"/>
        <v>737663</v>
      </c>
      <c r="O777" s="135">
        <f t="shared" si="125"/>
        <v>986500</v>
      </c>
      <c r="P777" s="135">
        <f t="shared" si="125"/>
        <v>427150</v>
      </c>
      <c r="Q777" s="135">
        <f t="shared" si="125"/>
        <v>1124100</v>
      </c>
      <c r="R777" s="135">
        <f t="shared" si="125"/>
        <v>1351100</v>
      </c>
      <c r="S777" s="135">
        <f t="shared" si="125"/>
        <v>-1269225.12</v>
      </c>
      <c r="T777" s="135">
        <f t="shared" si="125"/>
        <v>23200</v>
      </c>
      <c r="U777" s="135">
        <f t="shared" si="125"/>
        <v>126000</v>
      </c>
      <c r="V777" s="135">
        <f t="shared" si="125"/>
        <v>0</v>
      </c>
      <c r="W777" s="6">
        <f t="shared" si="119"/>
        <v>0</v>
      </c>
      <c r="X777" s="135">
        <f>X778+X794+X797</f>
        <v>2257003.26</v>
      </c>
      <c r="Y777" s="6">
        <f t="shared" si="110"/>
        <v>1340284.62</v>
      </c>
      <c r="Z777" s="6">
        <f t="shared" si="104"/>
        <v>1489484.62</v>
      </c>
    </row>
    <row r="778" spans="1:26" ht="15">
      <c r="A778" s="73" t="s">
        <v>206</v>
      </c>
      <c r="B778" s="73" t="s">
        <v>147</v>
      </c>
      <c r="C778" s="73" t="s">
        <v>146</v>
      </c>
      <c r="D778" s="74" t="s">
        <v>145</v>
      </c>
      <c r="E778" s="5"/>
      <c r="F778" s="14"/>
      <c r="G778" s="1"/>
      <c r="H778" s="4"/>
      <c r="I778" s="129">
        <f>SUM(I779:I793)</f>
        <v>1516187.88</v>
      </c>
      <c r="J778" s="129">
        <f aca="true" t="shared" si="126" ref="J778:V778">SUM(J779:J793)</f>
        <v>0</v>
      </c>
      <c r="K778" s="129">
        <f t="shared" si="126"/>
        <v>0</v>
      </c>
      <c r="L778" s="129">
        <f t="shared" si="126"/>
        <v>0</v>
      </c>
      <c r="M778" s="129">
        <f t="shared" si="126"/>
        <v>240000</v>
      </c>
      <c r="N778" s="129">
        <f t="shared" si="126"/>
        <v>475000</v>
      </c>
      <c r="O778" s="129">
        <f t="shared" si="126"/>
        <v>436500</v>
      </c>
      <c r="P778" s="129">
        <f t="shared" si="126"/>
        <v>312150</v>
      </c>
      <c r="Q778" s="129">
        <f t="shared" si="126"/>
        <v>-167150</v>
      </c>
      <c r="R778" s="129">
        <f t="shared" si="126"/>
        <v>242213</v>
      </c>
      <c r="S778" s="129">
        <f t="shared" si="126"/>
        <v>-171725.12</v>
      </c>
      <c r="T778" s="129">
        <f t="shared" si="126"/>
        <v>23200</v>
      </c>
      <c r="U778" s="129">
        <f t="shared" si="126"/>
        <v>126000</v>
      </c>
      <c r="V778" s="129">
        <f t="shared" si="126"/>
        <v>0</v>
      </c>
      <c r="W778" s="6">
        <f t="shared" si="119"/>
        <v>-1.1641532182693481E-10</v>
      </c>
      <c r="X778" s="129">
        <f>SUM(X779:X793)</f>
        <v>1151139.66</v>
      </c>
      <c r="Y778" s="6">
        <f t="shared" si="110"/>
        <v>215848.21999999997</v>
      </c>
      <c r="Z778" s="6">
        <f t="shared" si="104"/>
        <v>365048.22</v>
      </c>
    </row>
    <row r="779" spans="1:26" ht="30.75">
      <c r="A779" s="76"/>
      <c r="B779" s="76"/>
      <c r="C779" s="76"/>
      <c r="D779" s="77"/>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6"/>
      <c r="B780" s="76"/>
      <c r="C780" s="76"/>
      <c r="D780" s="77"/>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15" hidden="1">
      <c r="A781" s="76"/>
      <c r="B781" s="76"/>
      <c r="C781" s="76"/>
      <c r="D781" s="77"/>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15" hidden="1">
      <c r="A782" s="76"/>
      <c r="B782" s="76"/>
      <c r="C782" s="76"/>
      <c r="D782" s="77"/>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15">
      <c r="A783" s="76"/>
      <c r="B783" s="76"/>
      <c r="C783" s="76"/>
      <c r="D783" s="77"/>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15" hidden="1">
      <c r="A784" s="76"/>
      <c r="B784" s="76"/>
      <c r="C784" s="76"/>
      <c r="D784" s="77"/>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6"/>
      <c r="B785" s="76"/>
      <c r="C785" s="76"/>
      <c r="D785" s="77"/>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6"/>
      <c r="B786" s="76"/>
      <c r="C786" s="76"/>
      <c r="D786" s="77"/>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6"/>
      <c r="B787" s="76"/>
      <c r="C787" s="76"/>
      <c r="D787" s="77"/>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6"/>
      <c r="B788" s="76"/>
      <c r="C788" s="76"/>
      <c r="D788" s="77"/>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6"/>
      <c r="B789" s="76"/>
      <c r="C789" s="76"/>
      <c r="D789" s="77"/>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6"/>
      <c r="B790" s="76"/>
      <c r="C790" s="76"/>
      <c r="D790" s="77"/>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6"/>
      <c r="B791" s="76"/>
      <c r="C791" s="76"/>
      <c r="D791" s="77"/>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6"/>
      <c r="B792" s="76"/>
      <c r="C792" s="76"/>
      <c r="D792" s="77"/>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6"/>
      <c r="B793" s="76"/>
      <c r="C793" s="76"/>
      <c r="D793" s="77"/>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15" hidden="1">
      <c r="A794" s="73" t="s">
        <v>227</v>
      </c>
      <c r="B794" s="73" t="s">
        <v>189</v>
      </c>
      <c r="C794" s="73" t="s">
        <v>228</v>
      </c>
      <c r="D794" s="74" t="s">
        <v>229</v>
      </c>
      <c r="E794" s="5"/>
      <c r="F794" s="14"/>
      <c r="G794" s="1"/>
      <c r="H794" s="4"/>
      <c r="I794" s="129">
        <f>I795+I796</f>
        <v>0</v>
      </c>
      <c r="J794" s="129">
        <f aca="true" t="shared" si="130" ref="J794:X794">J795+J796</f>
        <v>0</v>
      </c>
      <c r="K794" s="129">
        <f t="shared" si="130"/>
        <v>0</v>
      </c>
      <c r="L794" s="129">
        <f t="shared" si="130"/>
        <v>0</v>
      </c>
      <c r="M794" s="129">
        <f t="shared" si="130"/>
        <v>0</v>
      </c>
      <c r="N794" s="129">
        <f t="shared" si="130"/>
        <v>100000</v>
      </c>
      <c r="O794" s="129">
        <f t="shared" si="130"/>
        <v>0</v>
      </c>
      <c r="P794" s="129">
        <f t="shared" si="130"/>
        <v>0</v>
      </c>
      <c r="Q794" s="129">
        <f t="shared" si="130"/>
        <v>100000</v>
      </c>
      <c r="R794" s="129">
        <f t="shared" si="130"/>
        <v>0</v>
      </c>
      <c r="S794" s="129">
        <f t="shared" si="130"/>
        <v>-200000</v>
      </c>
      <c r="T794" s="129">
        <f t="shared" si="130"/>
        <v>0</v>
      </c>
      <c r="U794" s="129">
        <f t="shared" si="130"/>
        <v>0</v>
      </c>
      <c r="V794" s="129">
        <f t="shared" si="130"/>
        <v>0</v>
      </c>
      <c r="W794" s="6">
        <f t="shared" si="127"/>
        <v>0</v>
      </c>
      <c r="X794" s="129">
        <f t="shared" si="130"/>
        <v>0</v>
      </c>
      <c r="Y794" s="6">
        <f t="shared" si="128"/>
        <v>0</v>
      </c>
      <c r="Z794" s="6">
        <f t="shared" si="129"/>
        <v>0</v>
      </c>
    </row>
    <row r="795" spans="1:26" ht="46.5" hidden="1">
      <c r="A795" s="76"/>
      <c r="B795" s="76"/>
      <c r="C795" s="76"/>
      <c r="D795" s="77"/>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row>
    <row r="796" spans="1:26" ht="46.5" hidden="1">
      <c r="A796" s="79"/>
      <c r="B796" s="79"/>
      <c r="C796" s="79"/>
      <c r="D796" s="80"/>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row>
    <row r="797" spans="1:26" ht="15">
      <c r="A797" s="73" t="s">
        <v>208</v>
      </c>
      <c r="B797" s="73" t="s">
        <v>207</v>
      </c>
      <c r="C797" s="73" t="s">
        <v>40</v>
      </c>
      <c r="D797" s="74" t="s">
        <v>41</v>
      </c>
      <c r="E797" s="5"/>
      <c r="F797" s="14"/>
      <c r="G797" s="1"/>
      <c r="H797" s="4"/>
      <c r="I797" s="129">
        <f>SUM(I798:I800)</f>
        <v>2230300</v>
      </c>
      <c r="J797" s="129">
        <f aca="true" t="shared" si="131" ref="J797:X797">SUM(J798:J800)</f>
        <v>0</v>
      </c>
      <c r="K797" s="129">
        <f t="shared" si="131"/>
        <v>0</v>
      </c>
      <c r="L797" s="129">
        <f t="shared" si="131"/>
        <v>0</v>
      </c>
      <c r="M797" s="129">
        <f t="shared" si="131"/>
        <v>0</v>
      </c>
      <c r="N797" s="129">
        <f t="shared" si="131"/>
        <v>162663</v>
      </c>
      <c r="O797" s="129">
        <f t="shared" si="131"/>
        <v>550000</v>
      </c>
      <c r="P797" s="129">
        <f t="shared" si="131"/>
        <v>115000</v>
      </c>
      <c r="Q797" s="129">
        <f t="shared" si="131"/>
        <v>1191250</v>
      </c>
      <c r="R797" s="129">
        <f t="shared" si="131"/>
        <v>1108887</v>
      </c>
      <c r="S797" s="129">
        <f t="shared" si="131"/>
        <v>-897500</v>
      </c>
      <c r="T797" s="129">
        <f t="shared" si="131"/>
        <v>0</v>
      </c>
      <c r="U797" s="129">
        <f t="shared" si="131"/>
        <v>0</v>
      </c>
      <c r="V797" s="129">
        <f t="shared" si="131"/>
        <v>0</v>
      </c>
      <c r="W797" s="6">
        <f t="shared" si="127"/>
        <v>0</v>
      </c>
      <c r="X797" s="129">
        <f t="shared" si="131"/>
        <v>1105863.6</v>
      </c>
      <c r="Y797" s="6">
        <f t="shared" si="128"/>
        <v>1124436.4</v>
      </c>
      <c r="Z797" s="6">
        <f t="shared" si="129"/>
        <v>1124436.4</v>
      </c>
    </row>
    <row r="798" spans="1:26" ht="30.75" hidden="1">
      <c r="A798" s="76"/>
      <c r="B798" s="76"/>
      <c r="C798" s="76"/>
      <c r="D798" s="77"/>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6"/>
      <c r="B799" s="76"/>
      <c r="C799" s="76"/>
      <c r="D799" s="77"/>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6" ht="15" hidden="1">
      <c r="A800" s="76"/>
      <c r="B800" s="76"/>
      <c r="C800" s="76"/>
      <c r="D800" s="77"/>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row>
    <row r="801" spans="1:26" ht="30.75">
      <c r="A801" s="33" t="s">
        <v>907</v>
      </c>
      <c r="B801" s="33"/>
      <c r="C801" s="33"/>
      <c r="D801" s="32" t="s">
        <v>908</v>
      </c>
      <c r="E801" s="5"/>
      <c r="F801" s="14"/>
      <c r="G801" s="1"/>
      <c r="H801" s="4"/>
      <c r="I801" s="135">
        <f>I802</f>
        <v>1350000</v>
      </c>
      <c r="J801" s="135">
        <f aca="true" t="shared" si="135" ref="J801:X801">J802</f>
        <v>0</v>
      </c>
      <c r="K801" s="135">
        <f t="shared" si="135"/>
        <v>0</v>
      </c>
      <c r="L801" s="135">
        <f t="shared" si="135"/>
        <v>0</v>
      </c>
      <c r="M801" s="135">
        <f t="shared" si="135"/>
        <v>0</v>
      </c>
      <c r="N801" s="135">
        <f t="shared" si="135"/>
        <v>0</v>
      </c>
      <c r="O801" s="135">
        <f t="shared" si="135"/>
        <v>0</v>
      </c>
      <c r="P801" s="135">
        <f t="shared" si="135"/>
        <v>0</v>
      </c>
      <c r="Q801" s="135">
        <f t="shared" si="135"/>
        <v>0</v>
      </c>
      <c r="R801" s="135">
        <f t="shared" si="135"/>
        <v>0</v>
      </c>
      <c r="S801" s="135">
        <f t="shared" si="135"/>
        <v>516800</v>
      </c>
      <c r="T801" s="135">
        <f t="shared" si="135"/>
        <v>33200</v>
      </c>
      <c r="U801" s="135">
        <f t="shared" si="135"/>
        <v>360000</v>
      </c>
      <c r="V801" s="135">
        <f t="shared" si="135"/>
        <v>440000</v>
      </c>
      <c r="W801" s="6">
        <f t="shared" si="132"/>
        <v>0</v>
      </c>
      <c r="X801" s="135">
        <f t="shared" si="135"/>
        <v>0</v>
      </c>
      <c r="Y801" s="6">
        <f t="shared" si="133"/>
        <v>516800</v>
      </c>
      <c r="Z801" s="6">
        <f t="shared" si="134"/>
        <v>1350000</v>
      </c>
    </row>
    <row r="802" spans="1:26" ht="30.75">
      <c r="A802" s="33" t="s">
        <v>909</v>
      </c>
      <c r="B802" s="33"/>
      <c r="C802" s="33"/>
      <c r="D802" s="32" t="s">
        <v>908</v>
      </c>
      <c r="E802" s="5"/>
      <c r="F802" s="14"/>
      <c r="G802" s="1"/>
      <c r="H802" s="4"/>
      <c r="I802" s="135">
        <f>I803+I805</f>
        <v>1350000</v>
      </c>
      <c r="J802" s="135">
        <f aca="true" t="shared" si="136" ref="J802:X802">J803+J805</f>
        <v>0</v>
      </c>
      <c r="K802" s="135">
        <f t="shared" si="136"/>
        <v>0</v>
      </c>
      <c r="L802" s="135">
        <f t="shared" si="136"/>
        <v>0</v>
      </c>
      <c r="M802" s="135">
        <f t="shared" si="136"/>
        <v>0</v>
      </c>
      <c r="N802" s="135">
        <f t="shared" si="136"/>
        <v>0</v>
      </c>
      <c r="O802" s="135">
        <f t="shared" si="136"/>
        <v>0</v>
      </c>
      <c r="P802" s="135">
        <f t="shared" si="136"/>
        <v>0</v>
      </c>
      <c r="Q802" s="135">
        <f t="shared" si="136"/>
        <v>0</v>
      </c>
      <c r="R802" s="135">
        <f t="shared" si="136"/>
        <v>0</v>
      </c>
      <c r="S802" s="135">
        <f t="shared" si="136"/>
        <v>516800</v>
      </c>
      <c r="T802" s="135">
        <f t="shared" si="136"/>
        <v>33200</v>
      </c>
      <c r="U802" s="135">
        <f t="shared" si="136"/>
        <v>360000</v>
      </c>
      <c r="V802" s="135">
        <f t="shared" si="136"/>
        <v>440000</v>
      </c>
      <c r="W802" s="6">
        <f t="shared" si="132"/>
        <v>0</v>
      </c>
      <c r="X802" s="135">
        <f t="shared" si="136"/>
        <v>0</v>
      </c>
      <c r="Y802" s="6">
        <f t="shared" si="133"/>
        <v>516800</v>
      </c>
      <c r="Z802" s="6">
        <f t="shared" si="134"/>
        <v>1350000</v>
      </c>
    </row>
    <row r="803" spans="1:26" ht="15">
      <c r="A803" s="73" t="s">
        <v>910</v>
      </c>
      <c r="B803" s="73" t="s">
        <v>147</v>
      </c>
      <c r="C803" s="73" t="s">
        <v>911</v>
      </c>
      <c r="D803" s="74" t="s">
        <v>145</v>
      </c>
      <c r="E803" s="5"/>
      <c r="F803" s="14"/>
      <c r="G803" s="1"/>
      <c r="H803" s="4"/>
      <c r="I803" s="129">
        <f>I804</f>
        <v>350000</v>
      </c>
      <c r="J803" s="129">
        <f aca="true" t="shared" si="137" ref="J803:X803">J804</f>
        <v>0</v>
      </c>
      <c r="K803" s="129">
        <f t="shared" si="137"/>
        <v>0</v>
      </c>
      <c r="L803" s="129">
        <f t="shared" si="137"/>
        <v>0</v>
      </c>
      <c r="M803" s="129">
        <f t="shared" si="137"/>
        <v>0</v>
      </c>
      <c r="N803" s="129">
        <f t="shared" si="137"/>
        <v>0</v>
      </c>
      <c r="O803" s="129">
        <f t="shared" si="137"/>
        <v>0</v>
      </c>
      <c r="P803" s="129">
        <f t="shared" si="137"/>
        <v>0</v>
      </c>
      <c r="Q803" s="129">
        <f t="shared" si="137"/>
        <v>0</v>
      </c>
      <c r="R803" s="129">
        <f t="shared" si="137"/>
        <v>0</v>
      </c>
      <c r="S803" s="129">
        <f t="shared" si="137"/>
        <v>316800</v>
      </c>
      <c r="T803" s="129">
        <f t="shared" si="137"/>
        <v>33200</v>
      </c>
      <c r="U803" s="129">
        <f t="shared" si="137"/>
        <v>0</v>
      </c>
      <c r="V803" s="129">
        <f t="shared" si="137"/>
        <v>0</v>
      </c>
      <c r="W803" s="6">
        <f t="shared" si="132"/>
        <v>0</v>
      </c>
      <c r="X803" s="129">
        <f t="shared" si="137"/>
        <v>0</v>
      </c>
      <c r="Y803" s="6">
        <f t="shared" si="133"/>
        <v>316800</v>
      </c>
      <c r="Z803" s="6">
        <f t="shared" si="134"/>
        <v>350000</v>
      </c>
    </row>
    <row r="804" spans="1:26" ht="15">
      <c r="A804" s="93"/>
      <c r="B804" s="93"/>
      <c r="C804" s="93"/>
      <c r="D804" s="85"/>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row>
    <row r="805" spans="1:26" ht="15">
      <c r="A805" s="73" t="s">
        <v>913</v>
      </c>
      <c r="B805" s="73" t="s">
        <v>189</v>
      </c>
      <c r="C805" s="73" t="s">
        <v>228</v>
      </c>
      <c r="D805" s="74" t="s">
        <v>229</v>
      </c>
      <c r="E805" s="5"/>
      <c r="F805" s="14"/>
      <c r="G805" s="1"/>
      <c r="H805" s="4"/>
      <c r="I805" s="129">
        <f>I806+I807</f>
        <v>1000000</v>
      </c>
      <c r="J805" s="129">
        <f aca="true" t="shared" si="138" ref="J805:X805">J806+J807</f>
        <v>0</v>
      </c>
      <c r="K805" s="129">
        <f t="shared" si="138"/>
        <v>0</v>
      </c>
      <c r="L805" s="129">
        <f t="shared" si="138"/>
        <v>0</v>
      </c>
      <c r="M805" s="129">
        <f t="shared" si="138"/>
        <v>0</v>
      </c>
      <c r="N805" s="129">
        <f t="shared" si="138"/>
        <v>0</v>
      </c>
      <c r="O805" s="129">
        <f t="shared" si="138"/>
        <v>0</v>
      </c>
      <c r="P805" s="129">
        <f t="shared" si="138"/>
        <v>0</v>
      </c>
      <c r="Q805" s="129">
        <f t="shared" si="138"/>
        <v>0</v>
      </c>
      <c r="R805" s="129">
        <f t="shared" si="138"/>
        <v>0</v>
      </c>
      <c r="S805" s="129">
        <f t="shared" si="138"/>
        <v>200000</v>
      </c>
      <c r="T805" s="129">
        <f t="shared" si="138"/>
        <v>0</v>
      </c>
      <c r="U805" s="129">
        <f t="shared" si="138"/>
        <v>360000</v>
      </c>
      <c r="V805" s="129">
        <f t="shared" si="138"/>
        <v>440000</v>
      </c>
      <c r="W805" s="6">
        <f t="shared" si="132"/>
        <v>0</v>
      </c>
      <c r="X805" s="129">
        <f t="shared" si="138"/>
        <v>0</v>
      </c>
      <c r="Y805" s="6">
        <f t="shared" si="133"/>
        <v>200000</v>
      </c>
      <c r="Z805" s="6">
        <f t="shared" si="134"/>
        <v>1000000</v>
      </c>
    </row>
    <row r="806" spans="1:26" ht="46.5">
      <c r="A806" s="76"/>
      <c r="B806" s="76"/>
      <c r="C806" s="76"/>
      <c r="D806" s="77"/>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row>
    <row r="807" spans="1:26" ht="46.5">
      <c r="A807" s="93"/>
      <c r="B807" s="93"/>
      <c r="C807" s="93"/>
      <c r="D807" s="85"/>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row>
    <row r="808" spans="1:26" ht="15">
      <c r="A808" s="69" t="s">
        <v>42</v>
      </c>
      <c r="B808" s="70"/>
      <c r="C808" s="71"/>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15">
      <c r="A809" s="69" t="s">
        <v>43</v>
      </c>
      <c r="B809" s="70"/>
      <c r="C809" s="71"/>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15">
      <c r="A811" s="35"/>
      <c r="B811" s="35"/>
      <c r="C811" s="35"/>
      <c r="D811" s="35"/>
      <c r="E811" s="21" t="s">
        <v>211</v>
      </c>
      <c r="F811" s="14">
        <v>3110</v>
      </c>
      <c r="G811" s="1"/>
      <c r="H811" s="23"/>
      <c r="I811" s="11">
        <v>200000</v>
      </c>
      <c r="J811" s="28"/>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8"/>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8"/>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8"/>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8"/>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8"/>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15">
      <c r="A817" s="35"/>
      <c r="B817" s="35"/>
      <c r="C817" s="35"/>
      <c r="D817" s="35"/>
      <c r="E817" s="21" t="s">
        <v>234</v>
      </c>
      <c r="F817" s="14">
        <v>3142</v>
      </c>
      <c r="G817" s="1"/>
      <c r="H817" s="23"/>
      <c r="I817" s="11">
        <v>200000</v>
      </c>
      <c r="J817" s="28"/>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8"/>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29">
        <f>I820</f>
        <v>4200000</v>
      </c>
      <c r="J819" s="129">
        <f aca="true" t="shared" si="142" ref="J819:X819">J820</f>
        <v>0</v>
      </c>
      <c r="K819" s="129">
        <f t="shared" si="142"/>
        <v>0</v>
      </c>
      <c r="L819" s="129">
        <f t="shared" si="142"/>
        <v>0</v>
      </c>
      <c r="M819" s="129">
        <f t="shared" si="142"/>
        <v>0</v>
      </c>
      <c r="N819" s="129">
        <f t="shared" si="142"/>
        <v>0</v>
      </c>
      <c r="O819" s="129">
        <f t="shared" si="142"/>
        <v>0</v>
      </c>
      <c r="P819" s="129">
        <f t="shared" si="142"/>
        <v>0</v>
      </c>
      <c r="Q819" s="129">
        <f t="shared" si="142"/>
        <v>0</v>
      </c>
      <c r="R819" s="129">
        <f t="shared" si="142"/>
        <v>0</v>
      </c>
      <c r="S819" s="129">
        <f t="shared" si="142"/>
        <v>1000000</v>
      </c>
      <c r="T819" s="129">
        <f t="shared" si="142"/>
        <v>1200000</v>
      </c>
      <c r="U819" s="129">
        <f t="shared" si="142"/>
        <v>1000000</v>
      </c>
      <c r="V819" s="129">
        <f t="shared" si="142"/>
        <v>1000000</v>
      </c>
      <c r="W819" s="6">
        <f t="shared" si="127"/>
        <v>0</v>
      </c>
      <c r="X819" s="129">
        <f t="shared" si="142"/>
        <v>0</v>
      </c>
      <c r="Y819" s="6">
        <f t="shared" si="128"/>
        <v>1000000</v>
      </c>
      <c r="Z819" s="6">
        <f t="shared" si="129"/>
        <v>4200000</v>
      </c>
    </row>
    <row r="820" spans="1:26" ht="30.75">
      <c r="A820" s="39"/>
      <c r="B820" s="39"/>
      <c r="C820" s="39"/>
      <c r="D820" s="35"/>
      <c r="E820" s="21" t="s">
        <v>748</v>
      </c>
      <c r="F820" s="14">
        <v>3142</v>
      </c>
      <c r="G820" s="1"/>
      <c r="H820" s="23"/>
      <c r="I820" s="11">
        <v>4200000</v>
      </c>
      <c r="J820" s="28"/>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37"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845</v>
      </c>
      <c r="B832" s="31"/>
      <c r="C832" s="31"/>
      <c r="D832" s="138" t="s">
        <v>846</v>
      </c>
      <c r="E832" s="21"/>
      <c r="F832" s="14"/>
      <c r="G832" s="21"/>
      <c r="H832" s="21"/>
      <c r="I832" s="129">
        <f>I833</f>
        <v>100000</v>
      </c>
      <c r="J832" s="129">
        <f aca="true" t="shared" si="145" ref="J832:X834">J833</f>
        <v>0</v>
      </c>
      <c r="K832" s="129">
        <f t="shared" si="145"/>
        <v>0</v>
      </c>
      <c r="L832" s="129">
        <f t="shared" si="145"/>
        <v>0</v>
      </c>
      <c r="M832" s="129">
        <f t="shared" si="145"/>
        <v>0</v>
      </c>
      <c r="N832" s="129">
        <f t="shared" si="145"/>
        <v>0</v>
      </c>
      <c r="O832" s="129">
        <f t="shared" si="145"/>
        <v>0</v>
      </c>
      <c r="P832" s="129">
        <f t="shared" si="145"/>
        <v>0</v>
      </c>
      <c r="Q832" s="129">
        <f t="shared" si="145"/>
        <v>0</v>
      </c>
      <c r="R832" s="129">
        <f t="shared" si="145"/>
        <v>0</v>
      </c>
      <c r="S832" s="129">
        <f t="shared" si="145"/>
        <v>0</v>
      </c>
      <c r="T832" s="129">
        <f t="shared" si="145"/>
        <v>0</v>
      </c>
      <c r="U832" s="129">
        <f t="shared" si="145"/>
        <v>100000</v>
      </c>
      <c r="V832" s="129">
        <f t="shared" si="145"/>
        <v>0</v>
      </c>
      <c r="W832" s="6">
        <f t="shared" si="127"/>
        <v>0</v>
      </c>
      <c r="X832" s="129">
        <f t="shared" si="145"/>
        <v>0</v>
      </c>
      <c r="Y832" s="6">
        <f>K832+L832+M832+N832+O832+P832+Q832+R832+S832-X832</f>
        <v>0</v>
      </c>
      <c r="Z832" s="6">
        <f aca="true" t="shared" si="146" ref="Z832:Z839">I832-X832</f>
        <v>100000</v>
      </c>
    </row>
    <row r="833" spans="1:26" ht="30.75">
      <c r="A833" s="31" t="s">
        <v>847</v>
      </c>
      <c r="B833" s="31"/>
      <c r="C833" s="31"/>
      <c r="D833" s="138" t="s">
        <v>846</v>
      </c>
      <c r="E833" s="21"/>
      <c r="F833" s="14"/>
      <c r="G833" s="21"/>
      <c r="H833" s="21"/>
      <c r="I833" s="129">
        <f>I834</f>
        <v>100000</v>
      </c>
      <c r="J833" s="129">
        <f t="shared" si="145"/>
        <v>0</v>
      </c>
      <c r="K833" s="129">
        <f t="shared" si="145"/>
        <v>0</v>
      </c>
      <c r="L833" s="129">
        <f t="shared" si="145"/>
        <v>0</v>
      </c>
      <c r="M833" s="129">
        <f t="shared" si="145"/>
        <v>0</v>
      </c>
      <c r="N833" s="129">
        <f t="shared" si="145"/>
        <v>0</v>
      </c>
      <c r="O833" s="129">
        <f t="shared" si="145"/>
        <v>0</v>
      </c>
      <c r="P833" s="129">
        <f t="shared" si="145"/>
        <v>0</v>
      </c>
      <c r="Q833" s="129">
        <f t="shared" si="145"/>
        <v>0</v>
      </c>
      <c r="R833" s="129">
        <f t="shared" si="145"/>
        <v>0</v>
      </c>
      <c r="S833" s="129">
        <f t="shared" si="145"/>
        <v>0</v>
      </c>
      <c r="T833" s="129">
        <f t="shared" si="145"/>
        <v>0</v>
      </c>
      <c r="U833" s="129">
        <f t="shared" si="145"/>
        <v>100000</v>
      </c>
      <c r="V833" s="129">
        <f t="shared" si="145"/>
        <v>0</v>
      </c>
      <c r="W833" s="6">
        <f t="shared" si="127"/>
        <v>0</v>
      </c>
      <c r="X833" s="129">
        <f t="shared" si="145"/>
        <v>0</v>
      </c>
      <c r="Y833" s="6">
        <f>K833+L833+M833+N833+O833+P833+Q833+R833+S833-X833</f>
        <v>0</v>
      </c>
      <c r="Z833" s="6">
        <f t="shared" si="146"/>
        <v>100000</v>
      </c>
    </row>
    <row r="834" spans="1:26" ht="15">
      <c r="A834" s="40" t="s">
        <v>848</v>
      </c>
      <c r="B834" s="31"/>
      <c r="C834" s="31"/>
      <c r="D834" s="37" t="s">
        <v>145</v>
      </c>
      <c r="E834" s="21"/>
      <c r="F834" s="14"/>
      <c r="G834" s="25"/>
      <c r="H834" s="26"/>
      <c r="I834" s="129">
        <f>I835</f>
        <v>100000</v>
      </c>
      <c r="J834" s="129">
        <f t="shared" si="145"/>
        <v>0</v>
      </c>
      <c r="K834" s="129">
        <f t="shared" si="145"/>
        <v>0</v>
      </c>
      <c r="L834" s="129">
        <f t="shared" si="145"/>
        <v>0</v>
      </c>
      <c r="M834" s="129">
        <f t="shared" si="145"/>
        <v>0</v>
      </c>
      <c r="N834" s="129">
        <f t="shared" si="145"/>
        <v>0</v>
      </c>
      <c r="O834" s="129">
        <f t="shared" si="145"/>
        <v>0</v>
      </c>
      <c r="P834" s="129">
        <f t="shared" si="145"/>
        <v>0</v>
      </c>
      <c r="Q834" s="129">
        <f t="shared" si="145"/>
        <v>0</v>
      </c>
      <c r="R834" s="129">
        <f t="shared" si="145"/>
        <v>0</v>
      </c>
      <c r="S834" s="129">
        <f t="shared" si="145"/>
        <v>0</v>
      </c>
      <c r="T834" s="129">
        <f t="shared" si="145"/>
        <v>0</v>
      </c>
      <c r="U834" s="129">
        <f t="shared" si="145"/>
        <v>100000</v>
      </c>
      <c r="V834" s="129">
        <f t="shared" si="145"/>
        <v>0</v>
      </c>
      <c r="W834" s="6">
        <f t="shared" si="127"/>
        <v>0</v>
      </c>
      <c r="X834" s="129">
        <f t="shared" si="145"/>
        <v>0</v>
      </c>
      <c r="Y834" s="6">
        <f>K834+L834+M834+N834+O834+P834+Q834+R834+S834-X834</f>
        <v>0</v>
      </c>
      <c r="Z834" s="6">
        <f t="shared" si="146"/>
        <v>100000</v>
      </c>
    </row>
    <row r="835" spans="1:26" ht="42" customHeight="1">
      <c r="A835" s="97"/>
      <c r="B835" s="31" t="s">
        <v>147</v>
      </c>
      <c r="C835" s="31" t="s">
        <v>146</v>
      </c>
      <c r="D835" s="95"/>
      <c r="E835" s="21" t="s">
        <v>849</v>
      </c>
      <c r="F835" s="14">
        <v>3110</v>
      </c>
      <c r="G835" s="23"/>
      <c r="H835" s="139"/>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15">
      <c r="A836" s="69" t="s">
        <v>682</v>
      </c>
      <c r="B836" s="69"/>
      <c r="C836" s="69"/>
      <c r="D836" s="69" t="s">
        <v>683</v>
      </c>
      <c r="E836" s="69"/>
      <c r="F836" s="14"/>
      <c r="G836" s="23"/>
      <c r="H836" s="139"/>
      <c r="I836" s="129">
        <f>I837</f>
        <v>300000</v>
      </c>
      <c r="J836" s="129">
        <f aca="true" t="shared" si="147" ref="J836:X837">J837</f>
        <v>0</v>
      </c>
      <c r="K836" s="129">
        <f t="shared" si="147"/>
        <v>0</v>
      </c>
      <c r="L836" s="129">
        <f t="shared" si="147"/>
        <v>0</v>
      </c>
      <c r="M836" s="129">
        <f t="shared" si="147"/>
        <v>0</v>
      </c>
      <c r="N836" s="129">
        <f t="shared" si="147"/>
        <v>0</v>
      </c>
      <c r="O836" s="129">
        <f t="shared" si="147"/>
        <v>0</v>
      </c>
      <c r="P836" s="129">
        <f t="shared" si="147"/>
        <v>0</v>
      </c>
      <c r="Q836" s="129">
        <f t="shared" si="147"/>
        <v>300000</v>
      </c>
      <c r="R836" s="129">
        <f t="shared" si="147"/>
        <v>0</v>
      </c>
      <c r="S836" s="129">
        <f t="shared" si="147"/>
        <v>0</v>
      </c>
      <c r="T836" s="129">
        <f t="shared" si="147"/>
        <v>0</v>
      </c>
      <c r="U836" s="129">
        <f t="shared" si="147"/>
        <v>0</v>
      </c>
      <c r="V836" s="129">
        <f t="shared" si="147"/>
        <v>0</v>
      </c>
      <c r="W836" s="6">
        <f t="shared" si="127"/>
        <v>0</v>
      </c>
      <c r="X836" s="129">
        <f t="shared" si="147"/>
        <v>0</v>
      </c>
      <c r="Y836" s="6">
        <f t="shared" si="128"/>
        <v>300000</v>
      </c>
      <c r="Z836" s="6">
        <f t="shared" si="146"/>
        <v>300000</v>
      </c>
    </row>
    <row r="837" spans="1:26" ht="15">
      <c r="A837" s="69" t="s">
        <v>684</v>
      </c>
      <c r="B837" s="69"/>
      <c r="C837" s="69"/>
      <c r="D837" s="69" t="s">
        <v>683</v>
      </c>
      <c r="E837" s="69"/>
      <c r="F837" s="14"/>
      <c r="G837" s="23"/>
      <c r="H837" s="139"/>
      <c r="I837" s="129">
        <f>I838</f>
        <v>300000</v>
      </c>
      <c r="J837" s="129">
        <f t="shared" si="147"/>
        <v>0</v>
      </c>
      <c r="K837" s="129">
        <f t="shared" si="147"/>
        <v>0</v>
      </c>
      <c r="L837" s="129">
        <f t="shared" si="147"/>
        <v>0</v>
      </c>
      <c r="M837" s="129">
        <f t="shared" si="147"/>
        <v>0</v>
      </c>
      <c r="N837" s="129">
        <f t="shared" si="147"/>
        <v>0</v>
      </c>
      <c r="O837" s="129">
        <f t="shared" si="147"/>
        <v>0</v>
      </c>
      <c r="P837" s="129">
        <f t="shared" si="147"/>
        <v>0</v>
      </c>
      <c r="Q837" s="129">
        <f t="shared" si="147"/>
        <v>300000</v>
      </c>
      <c r="R837" s="129">
        <f t="shared" si="147"/>
        <v>0</v>
      </c>
      <c r="S837" s="129">
        <f t="shared" si="147"/>
        <v>0</v>
      </c>
      <c r="T837" s="129">
        <f t="shared" si="147"/>
        <v>0</v>
      </c>
      <c r="U837" s="129">
        <f t="shared" si="147"/>
        <v>0</v>
      </c>
      <c r="V837" s="129">
        <f t="shared" si="147"/>
        <v>0</v>
      </c>
      <c r="W837" s="6">
        <f t="shared" si="127"/>
        <v>0</v>
      </c>
      <c r="X837" s="129">
        <f t="shared" si="147"/>
        <v>0</v>
      </c>
      <c r="Y837" s="6">
        <f t="shared" si="128"/>
        <v>300000</v>
      </c>
      <c r="Z837" s="6">
        <f t="shared" si="146"/>
        <v>300000</v>
      </c>
    </row>
    <row r="838" spans="1:26" ht="15">
      <c r="A838" s="36" t="s">
        <v>685</v>
      </c>
      <c r="B838" s="36" t="s">
        <v>190</v>
      </c>
      <c r="C838" s="36" t="s">
        <v>189</v>
      </c>
      <c r="D838" s="94" t="s">
        <v>188</v>
      </c>
      <c r="E838" s="21"/>
      <c r="F838" s="14"/>
      <c r="G838" s="23"/>
      <c r="H838" s="139"/>
      <c r="I838" s="129">
        <f>I839</f>
        <v>300000</v>
      </c>
      <c r="J838" s="129">
        <f aca="true" t="shared" si="148" ref="J838:X838">J839</f>
        <v>0</v>
      </c>
      <c r="K838" s="129">
        <f t="shared" si="148"/>
        <v>0</v>
      </c>
      <c r="L838" s="129">
        <f t="shared" si="148"/>
        <v>0</v>
      </c>
      <c r="M838" s="129">
        <f t="shared" si="148"/>
        <v>0</v>
      </c>
      <c r="N838" s="129">
        <f t="shared" si="148"/>
        <v>0</v>
      </c>
      <c r="O838" s="129">
        <f t="shared" si="148"/>
        <v>0</v>
      </c>
      <c r="P838" s="129">
        <f t="shared" si="148"/>
        <v>0</v>
      </c>
      <c r="Q838" s="129">
        <f t="shared" si="148"/>
        <v>300000</v>
      </c>
      <c r="R838" s="129">
        <f t="shared" si="148"/>
        <v>0</v>
      </c>
      <c r="S838" s="129">
        <f t="shared" si="148"/>
        <v>0</v>
      </c>
      <c r="T838" s="129">
        <f t="shared" si="148"/>
        <v>0</v>
      </c>
      <c r="U838" s="129">
        <f t="shared" si="148"/>
        <v>0</v>
      </c>
      <c r="V838" s="129">
        <f t="shared" si="148"/>
        <v>0</v>
      </c>
      <c r="W838" s="6">
        <f t="shared" si="127"/>
        <v>0</v>
      </c>
      <c r="X838" s="129">
        <f t="shared" si="148"/>
        <v>0</v>
      </c>
      <c r="Y838" s="6">
        <f t="shared" si="128"/>
        <v>300000</v>
      </c>
      <c r="Z838" s="6">
        <f t="shared" si="146"/>
        <v>300000</v>
      </c>
    </row>
    <row r="839" spans="1:26" ht="62.25">
      <c r="A839" s="36"/>
      <c r="B839" s="36"/>
      <c r="C839" s="36"/>
      <c r="D839" s="94"/>
      <c r="E839" s="21" t="s">
        <v>686</v>
      </c>
      <c r="F839" s="14">
        <v>3220</v>
      </c>
      <c r="G839" s="23"/>
      <c r="H839" s="139"/>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17.25">
      <c r="A840" s="140" t="s">
        <v>44</v>
      </c>
      <c r="B840" s="140"/>
      <c r="C840" s="140"/>
      <c r="D840" s="140"/>
      <c r="E840" s="140"/>
      <c r="F840" s="141"/>
      <c r="G840" s="142"/>
      <c r="H840" s="143"/>
      <c r="I840" s="144">
        <f aca="true" t="shared" si="149" ref="I840:X840">I378+I808+I448+I11+I705+I776+I432+I836+I772+I832+I5+I801</f>
        <v>701070365.61</v>
      </c>
      <c r="J840" s="144">
        <f t="shared" si="149"/>
        <v>0</v>
      </c>
      <c r="K840" s="144">
        <f t="shared" si="149"/>
        <v>0</v>
      </c>
      <c r="L840" s="144">
        <f t="shared" si="149"/>
        <v>1203000</v>
      </c>
      <c r="M840" s="144">
        <f t="shared" si="149"/>
        <v>40153774.66</v>
      </c>
      <c r="N840" s="144">
        <f t="shared" si="149"/>
        <v>46198239.89</v>
      </c>
      <c r="O840" s="144">
        <f t="shared" si="149"/>
        <v>47252257.11</v>
      </c>
      <c r="P840" s="144">
        <f t="shared" si="149"/>
        <v>30243539.85</v>
      </c>
      <c r="Q840" s="144">
        <f t="shared" si="149"/>
        <v>75812491.97999999</v>
      </c>
      <c r="R840" s="144">
        <f t="shared" si="149"/>
        <v>90664357.56</v>
      </c>
      <c r="S840" s="144">
        <f t="shared" si="149"/>
        <v>53803490.1</v>
      </c>
      <c r="T840" s="144">
        <f t="shared" si="149"/>
        <v>92054473.38</v>
      </c>
      <c r="U840" s="144">
        <f t="shared" si="149"/>
        <v>129002089.53999999</v>
      </c>
      <c r="V840" s="144">
        <f t="shared" si="149"/>
        <v>94682651.53999999</v>
      </c>
      <c r="W840" s="144">
        <f t="shared" si="149"/>
        <v>3.3527612686157227E-08</v>
      </c>
      <c r="X840" s="144">
        <f t="shared" si="149"/>
        <v>267738479.26999998</v>
      </c>
      <c r="Y840" s="6">
        <f t="shared" si="128"/>
        <v>117592671.88</v>
      </c>
      <c r="Z840" s="6">
        <f t="shared" si="129"/>
        <v>433331886.34000003</v>
      </c>
    </row>
  </sheetData>
  <sheetProtection/>
  <mergeCells count="215">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770:C771"/>
    <mergeCell ref="D709:D710"/>
    <mergeCell ref="D583:D701"/>
    <mergeCell ref="C583:C701"/>
    <mergeCell ref="D726:D760"/>
    <mergeCell ref="C718:C725"/>
    <mergeCell ref="C761:C767"/>
    <mergeCell ref="C716:C717"/>
    <mergeCell ref="D718:D725"/>
    <mergeCell ref="D273:D329"/>
    <mergeCell ref="C273:C329"/>
    <mergeCell ref="C702:C704"/>
    <mergeCell ref="D714:D715"/>
    <mergeCell ref="C452:C493"/>
    <mergeCell ref="D498:D499"/>
    <mergeCell ref="D359:D377"/>
    <mergeCell ref="D702:D704"/>
    <mergeCell ref="C528:C536"/>
    <mergeCell ref="C500:C527"/>
    <mergeCell ref="C196:C197"/>
    <mergeCell ref="C182:C195"/>
    <mergeCell ref="C334:C338"/>
    <mergeCell ref="D208:D209"/>
    <mergeCell ref="D330:D333"/>
    <mergeCell ref="C210:C270"/>
    <mergeCell ref="D271:D272"/>
    <mergeCell ref="D196:D198"/>
    <mergeCell ref="D199:D200"/>
    <mergeCell ref="C208:C209"/>
    <mergeCell ref="D96:D179"/>
    <mergeCell ref="D180:D181"/>
    <mergeCell ref="A768:A769"/>
    <mergeCell ref="B768:B769"/>
    <mergeCell ref="C768:C769"/>
    <mergeCell ref="D768:D769"/>
    <mergeCell ref="A707:A708"/>
    <mergeCell ref="B707:B708"/>
    <mergeCell ref="C707:C708"/>
    <mergeCell ref="A834:A835"/>
    <mergeCell ref="D834:D835"/>
    <mergeCell ref="D778:D793"/>
    <mergeCell ref="C778:C793"/>
    <mergeCell ref="A794:A795"/>
    <mergeCell ref="A778:A793"/>
    <mergeCell ref="C794:C795"/>
    <mergeCell ref="B794:B795"/>
    <mergeCell ref="D797:D800"/>
    <mergeCell ref="A805:A807"/>
    <mergeCell ref="A7:A10"/>
    <mergeCell ref="B7:B10"/>
    <mergeCell ref="C7:C10"/>
    <mergeCell ref="D7:D10"/>
    <mergeCell ref="A803:A804"/>
    <mergeCell ref="B803:B804"/>
    <mergeCell ref="C803:C804"/>
    <mergeCell ref="D803:D804"/>
    <mergeCell ref="A774:A775"/>
    <mergeCell ref="B774:B775"/>
    <mergeCell ref="B805:B807"/>
    <mergeCell ref="C805:C807"/>
    <mergeCell ref="D805:D807"/>
    <mergeCell ref="D427:D429"/>
    <mergeCell ref="A427:A429"/>
    <mergeCell ref="C774:C775"/>
    <mergeCell ref="D774:D775"/>
    <mergeCell ref="C714:C715"/>
    <mergeCell ref="D707:D708"/>
    <mergeCell ref="D770:D77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2019-09-20T11:12:16Z</dcterms:modified>
  <cp:category/>
  <cp:version/>
  <cp:contentType/>
  <cp:contentStatus/>
</cp:coreProperties>
</file>